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indr_he\Downloads\"/>
    </mc:Choice>
  </mc:AlternateContent>
  <xr:revisionPtr revIDLastSave="0" documentId="13_ncr:1_{3CF8D6DC-0E29-471C-8165-B0DF013BE4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äestöennuste alueittain" sheetId="3" r:id="rId1"/>
    <sheet name="Kouluittain oppilasmuutokset" sheetId="13" r:id="rId2"/>
    <sheet name="Tilakustannus muutoskohteissa" sheetId="14" r:id="rId3"/>
  </sheet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14" l="1"/>
  <c r="U5" i="14"/>
  <c r="T5" i="14"/>
  <c r="J6" i="14"/>
  <c r="M18" i="14"/>
  <c r="T17" i="14"/>
  <c r="U17" i="14" s="1"/>
  <c r="Q17" i="14" s="1"/>
  <c r="K17" i="14"/>
  <c r="I17" i="14"/>
  <c r="H17" i="14"/>
  <c r="J17" i="14" s="1"/>
  <c r="G17" i="14"/>
  <c r="T16" i="14"/>
  <c r="U16" i="14" s="1"/>
  <c r="Q16" i="14"/>
  <c r="K16" i="14"/>
  <c r="I16" i="14"/>
  <c r="J16" i="14" s="1"/>
  <c r="H16" i="14"/>
  <c r="G16" i="14"/>
  <c r="B16" i="14"/>
  <c r="Q15" i="14"/>
  <c r="O15" i="14"/>
  <c r="K15" i="14"/>
  <c r="I15" i="14"/>
  <c r="H15" i="14"/>
  <c r="J15" i="14" s="1"/>
  <c r="G15" i="14"/>
  <c r="U14" i="14"/>
  <c r="V14" i="14" s="1"/>
  <c r="W14" i="14" s="1"/>
  <c r="X14" i="14" s="1"/>
  <c r="Y14" i="14" s="1"/>
  <c r="Z14" i="14" s="1"/>
  <c r="T14" i="14"/>
  <c r="F14" i="14"/>
  <c r="I14" i="14" s="1"/>
  <c r="E14" i="14"/>
  <c r="H14" i="14" s="1"/>
  <c r="D14" i="14"/>
  <c r="C14" i="14"/>
  <c r="B14" i="14"/>
  <c r="O14" i="14" s="1"/>
  <c r="T13" i="14"/>
  <c r="U13" i="14" s="1"/>
  <c r="R13" i="14"/>
  <c r="Q13" i="14"/>
  <c r="F13" i="14"/>
  <c r="I13" i="14" s="1"/>
  <c r="E13" i="14"/>
  <c r="H13" i="14" s="1"/>
  <c r="J13" i="14" s="1"/>
  <c r="D13" i="14"/>
  <c r="C13" i="14"/>
  <c r="K13" i="14" s="1"/>
  <c r="B13" i="14"/>
  <c r="O13" i="14" s="1"/>
  <c r="T12" i="14"/>
  <c r="U12" i="14" s="1"/>
  <c r="O12" i="14"/>
  <c r="K12" i="14"/>
  <c r="I12" i="14"/>
  <c r="H12" i="14"/>
  <c r="J12" i="14" s="1"/>
  <c r="G12" i="14"/>
  <c r="AJ11" i="14"/>
  <c r="AI11" i="14"/>
  <c r="S11" i="14"/>
  <c r="R11" i="14"/>
  <c r="T11" i="14" s="1"/>
  <c r="U11" i="14" s="1"/>
  <c r="V11" i="14" s="1"/>
  <c r="W11" i="14" s="1"/>
  <c r="O11" i="14"/>
  <c r="H11" i="14"/>
  <c r="G11" i="14"/>
  <c r="F11" i="14"/>
  <c r="K11" i="14" s="1"/>
  <c r="E11" i="14"/>
  <c r="D11" i="14"/>
  <c r="C11" i="14"/>
  <c r="B11" i="14"/>
  <c r="S10" i="14"/>
  <c r="S18" i="14" s="1"/>
  <c r="R10" i="14"/>
  <c r="R18" i="14" s="1"/>
  <c r="Q10" i="14"/>
  <c r="K10" i="14"/>
  <c r="I10" i="14"/>
  <c r="H10" i="14"/>
  <c r="J10" i="14" s="1"/>
  <c r="G10" i="14"/>
  <c r="T9" i="14"/>
  <c r="U9" i="14" s="1"/>
  <c r="K9" i="14"/>
  <c r="I9" i="14"/>
  <c r="H9" i="14"/>
  <c r="J9" i="14" s="1"/>
  <c r="G9" i="14"/>
  <c r="T8" i="14"/>
  <c r="U8" i="14" s="1"/>
  <c r="O8" i="14"/>
  <c r="K8" i="14"/>
  <c r="J8" i="14"/>
  <c r="I8" i="14"/>
  <c r="H8" i="14"/>
  <c r="G8" i="14"/>
  <c r="T7" i="14"/>
  <c r="U7" i="14" s="1"/>
  <c r="O7" i="14"/>
  <c r="K7" i="14"/>
  <c r="I7" i="14"/>
  <c r="H7" i="14"/>
  <c r="J7" i="14" s="1"/>
  <c r="G7" i="14"/>
  <c r="T6" i="14"/>
  <c r="U6" i="14" s="1"/>
  <c r="O6" i="14"/>
  <c r="N18" i="14"/>
  <c r="K6" i="14"/>
  <c r="I6" i="14"/>
  <c r="H6" i="14"/>
  <c r="G6" i="14"/>
  <c r="V5" i="14"/>
  <c r="K5" i="14"/>
  <c r="I5" i="14"/>
  <c r="H5" i="14"/>
  <c r="J5" i="14" s="1"/>
  <c r="G5" i="14"/>
  <c r="B22" i="13"/>
  <c r="N51" i="3"/>
  <c r="E6" i="13"/>
  <c r="D51" i="3"/>
  <c r="E51" i="3"/>
  <c r="F51" i="3"/>
  <c r="G51" i="3"/>
  <c r="H51" i="3"/>
  <c r="I51" i="3"/>
  <c r="J51" i="3"/>
  <c r="K51" i="3"/>
  <c r="L51" i="3"/>
  <c r="M51" i="3"/>
  <c r="C51" i="3"/>
  <c r="D35" i="3"/>
  <c r="D52" i="3" s="1"/>
  <c r="E35" i="3"/>
  <c r="E52" i="3" s="1"/>
  <c r="F35" i="3"/>
  <c r="F52" i="3" s="1"/>
  <c r="G35" i="3"/>
  <c r="G52" i="3" s="1"/>
  <c r="H35" i="3"/>
  <c r="H52" i="3" s="1"/>
  <c r="I35" i="3"/>
  <c r="I52" i="3" s="1"/>
  <c r="J35" i="3"/>
  <c r="J52" i="3" s="1"/>
  <c r="K35" i="3"/>
  <c r="L35" i="3"/>
  <c r="M35" i="3"/>
  <c r="N35" i="3"/>
  <c r="C35" i="3"/>
  <c r="C52" i="3"/>
  <c r="K52" i="3"/>
  <c r="L52" i="3"/>
  <c r="M52" i="3"/>
  <c r="N52" i="3"/>
  <c r="Q14" i="14" l="1"/>
  <c r="AA14" i="14"/>
  <c r="AB14" i="14" s="1"/>
  <c r="AC14" i="14" s="1"/>
  <c r="AD14" i="14" s="1"/>
  <c r="X11" i="14"/>
  <c r="Y11" i="14" s="1"/>
  <c r="Z11" i="14" s="1"/>
  <c r="AA11" i="14" s="1"/>
  <c r="AB11" i="14" s="1"/>
  <c r="AC11" i="14" s="1"/>
  <c r="AD11" i="14" s="1"/>
  <c r="Q11" i="14"/>
  <c r="V6" i="14"/>
  <c r="W6" i="14" s="1"/>
  <c r="X6" i="14" s="1"/>
  <c r="Y6" i="14" s="1"/>
  <c r="Z6" i="14" s="1"/>
  <c r="AA6" i="14" s="1"/>
  <c r="AB6" i="14" s="1"/>
  <c r="AC6" i="14" s="1"/>
  <c r="Q6" i="14"/>
  <c r="V8" i="14"/>
  <c r="W8" i="14" s="1"/>
  <c r="X8" i="14" s="1"/>
  <c r="Y8" i="14" s="1"/>
  <c r="Z8" i="14" s="1"/>
  <c r="AA8" i="14" s="1"/>
  <c r="AB8" i="14" s="1"/>
  <c r="AC8" i="14" s="1"/>
  <c r="Q8" i="14"/>
  <c r="W5" i="14"/>
  <c r="X5" i="14" s="1"/>
  <c r="Q5" i="14"/>
  <c r="V7" i="14"/>
  <c r="W7" i="14" s="1"/>
  <c r="X7" i="14" s="1"/>
  <c r="Y7" i="14" s="1"/>
  <c r="Z7" i="14" s="1"/>
  <c r="AA7" i="14" s="1"/>
  <c r="AB7" i="14" s="1"/>
  <c r="AC7" i="14" s="1"/>
  <c r="AD7" i="14" s="1"/>
  <c r="Q7" i="14"/>
  <c r="V9" i="14"/>
  <c r="W9" i="14" s="1"/>
  <c r="X9" i="14" s="1"/>
  <c r="Y9" i="14" s="1"/>
  <c r="Z9" i="14" s="1"/>
  <c r="AA9" i="14" s="1"/>
  <c r="AB9" i="14" s="1"/>
  <c r="AC9" i="14" s="1"/>
  <c r="AD9" i="14" s="1"/>
  <c r="Q9" i="14"/>
  <c r="I11" i="14"/>
  <c r="J11" i="14" s="1"/>
  <c r="J18" i="14" s="1"/>
  <c r="V12" i="14"/>
  <c r="W12" i="14" s="1"/>
  <c r="X12" i="14" s="1"/>
  <c r="Y12" i="14" s="1"/>
  <c r="Z12" i="14" s="1"/>
  <c r="AA12" i="14" s="1"/>
  <c r="AB12" i="14" s="1"/>
  <c r="AC12" i="14" s="1"/>
  <c r="AD12" i="14" s="1"/>
  <c r="Q12" i="14"/>
  <c r="K14" i="14"/>
  <c r="G14" i="14"/>
  <c r="J14" i="14"/>
  <c r="K18" i="14"/>
  <c r="V17" i="14"/>
  <c r="W17" i="14" s="1"/>
  <c r="X17" i="14" s="1"/>
  <c r="Y17" i="14" s="1"/>
  <c r="Z17" i="14" s="1"/>
  <c r="AA17" i="14" s="1"/>
  <c r="AB17" i="14" s="1"/>
  <c r="AC17" i="14" s="1"/>
  <c r="AD17" i="14" s="1"/>
  <c r="G13" i="14"/>
  <c r="G18" i="14" s="1"/>
  <c r="T10" i="14"/>
  <c r="U10" i="14" s="1"/>
  <c r="B20" i="13"/>
  <c r="B21" i="13" s="1"/>
  <c r="D30" i="13"/>
  <c r="Q18" i="14" l="1"/>
  <c r="M73" i="13"/>
  <c r="N73" i="13" s="1"/>
  <c r="M54" i="13"/>
  <c r="N54" i="13" s="1"/>
  <c r="C43" i="13"/>
  <c r="J79" i="13"/>
  <c r="M79" i="13" s="1"/>
  <c r="N79" i="13" s="1"/>
  <c r="I79" i="13"/>
  <c r="E79" i="13"/>
  <c r="D79" i="13"/>
  <c r="J78" i="13"/>
  <c r="K78" i="13" s="1"/>
  <c r="E78" i="13"/>
  <c r="D78" i="13"/>
  <c r="J77" i="13"/>
  <c r="K77" i="13" s="1"/>
  <c r="L77" i="13" s="1"/>
  <c r="E77" i="13"/>
  <c r="F77" i="13" s="1"/>
  <c r="D77" i="13"/>
  <c r="J76" i="13"/>
  <c r="M76" i="13" s="1"/>
  <c r="N76" i="13" s="1"/>
  <c r="E76" i="13"/>
  <c r="J75" i="13"/>
  <c r="E74" i="13"/>
  <c r="F74" i="13" s="1"/>
  <c r="G74" i="13" s="1"/>
  <c r="K73" i="13"/>
  <c r="I73" i="13"/>
  <c r="F73" i="13"/>
  <c r="C73" i="13"/>
  <c r="C80" i="13" s="1"/>
  <c r="J72" i="13"/>
  <c r="K72" i="13" s="1"/>
  <c r="L72" i="13" s="1"/>
  <c r="E72" i="13"/>
  <c r="J71" i="13"/>
  <c r="I70" i="13"/>
  <c r="E70" i="13"/>
  <c r="F70" i="13" s="1"/>
  <c r="J69" i="13"/>
  <c r="K69" i="13" s="1"/>
  <c r="E69" i="13"/>
  <c r="D69" i="13"/>
  <c r="J68" i="13"/>
  <c r="K68" i="13" s="1"/>
  <c r="L68" i="13" s="1"/>
  <c r="E68" i="13"/>
  <c r="H68" i="13" s="1"/>
  <c r="I68" i="13" s="1"/>
  <c r="D68" i="13"/>
  <c r="J67" i="13"/>
  <c r="K67" i="13" s="1"/>
  <c r="E67" i="13"/>
  <c r="H67" i="13" s="1"/>
  <c r="I67" i="13" s="1"/>
  <c r="D67" i="13"/>
  <c r="J66" i="13"/>
  <c r="K66" i="13" s="1"/>
  <c r="L66" i="13" s="1"/>
  <c r="E66" i="13"/>
  <c r="F66" i="13" s="1"/>
  <c r="G66" i="13" s="1"/>
  <c r="D66" i="13"/>
  <c r="J65" i="13"/>
  <c r="K65" i="13" s="1"/>
  <c r="E65" i="13"/>
  <c r="D65" i="13"/>
  <c r="J64" i="13"/>
  <c r="K64" i="13" s="1"/>
  <c r="L64" i="13" s="1"/>
  <c r="E64" i="13"/>
  <c r="F64" i="13" s="1"/>
  <c r="G64" i="13" s="1"/>
  <c r="D64" i="13"/>
  <c r="K63" i="13"/>
  <c r="L63" i="13" s="1"/>
  <c r="I63" i="13"/>
  <c r="J57" i="13"/>
  <c r="K57" i="13" s="1"/>
  <c r="K60" i="13" s="1"/>
  <c r="E57" i="13"/>
  <c r="J56" i="13"/>
  <c r="K56" i="13" s="1"/>
  <c r="E55" i="13"/>
  <c r="F55" i="13" s="1"/>
  <c r="I54" i="13"/>
  <c r="F54" i="13"/>
  <c r="C54" i="13"/>
  <c r="J53" i="13"/>
  <c r="K53" i="13" s="1"/>
  <c r="E53" i="13"/>
  <c r="H53" i="13" s="1"/>
  <c r="I53" i="13" s="1"/>
  <c r="D53" i="13"/>
  <c r="J52" i="13"/>
  <c r="K52" i="13" s="1"/>
  <c r="L52" i="13" s="1"/>
  <c r="E52" i="13"/>
  <c r="H52" i="13" s="1"/>
  <c r="I52" i="13" s="1"/>
  <c r="D52" i="13"/>
  <c r="J51" i="13"/>
  <c r="K51" i="13" s="1"/>
  <c r="E51" i="13"/>
  <c r="F51" i="13" s="1"/>
  <c r="D51" i="13"/>
  <c r="J50" i="13"/>
  <c r="K50" i="13" s="1"/>
  <c r="E50" i="13"/>
  <c r="H50" i="13" s="1"/>
  <c r="I50" i="13" s="1"/>
  <c r="D50" i="13"/>
  <c r="J49" i="13"/>
  <c r="K49" i="13" s="1"/>
  <c r="E49" i="13"/>
  <c r="H49" i="13" s="1"/>
  <c r="I49" i="13" s="1"/>
  <c r="D49" i="13"/>
  <c r="J48" i="13"/>
  <c r="K48" i="13" s="1"/>
  <c r="E48" i="13"/>
  <c r="D48" i="13"/>
  <c r="B45" i="13"/>
  <c r="B94" i="13" s="1"/>
  <c r="J42" i="13"/>
  <c r="K42" i="13" s="1"/>
  <c r="L42" i="13" s="1"/>
  <c r="E42" i="13"/>
  <c r="F42" i="13" s="1"/>
  <c r="D42" i="13"/>
  <c r="J41" i="13"/>
  <c r="K41" i="13" s="1"/>
  <c r="E41" i="13"/>
  <c r="J40" i="13"/>
  <c r="E39" i="13"/>
  <c r="J38" i="13"/>
  <c r="E38" i="13"/>
  <c r="F38" i="13" s="1"/>
  <c r="G38" i="13" s="1"/>
  <c r="D38" i="13"/>
  <c r="B35" i="13"/>
  <c r="J32" i="13"/>
  <c r="K32" i="13" s="1"/>
  <c r="E32" i="13"/>
  <c r="F32" i="13" s="1"/>
  <c r="D32" i="13"/>
  <c r="J31" i="13"/>
  <c r="K31" i="13" s="1"/>
  <c r="L31" i="13" s="1"/>
  <c r="E31" i="13"/>
  <c r="F31" i="13" s="1"/>
  <c r="D31" i="13"/>
  <c r="K30" i="13"/>
  <c r="F30" i="13"/>
  <c r="J29" i="13"/>
  <c r="K29" i="13" s="1"/>
  <c r="E29" i="13"/>
  <c r="D29" i="13"/>
  <c r="J28" i="13"/>
  <c r="K28" i="13" s="1"/>
  <c r="L28" i="13" s="1"/>
  <c r="E28" i="13"/>
  <c r="F28" i="13" s="1"/>
  <c r="D28" i="13"/>
  <c r="J27" i="13"/>
  <c r="K27" i="13" s="1"/>
  <c r="K35" i="13" s="1"/>
  <c r="L35" i="13" s="1"/>
  <c r="E27" i="13"/>
  <c r="J26" i="13"/>
  <c r="K26" i="13" s="1"/>
  <c r="E25" i="13"/>
  <c r="F25" i="13" s="1"/>
  <c r="J19" i="13"/>
  <c r="E19" i="13"/>
  <c r="F19" i="13" s="1"/>
  <c r="J18" i="13"/>
  <c r="K18" i="13" s="1"/>
  <c r="L18" i="13" s="1"/>
  <c r="E17" i="13"/>
  <c r="J15" i="13"/>
  <c r="E15" i="13"/>
  <c r="F15" i="13" s="1"/>
  <c r="J14" i="13"/>
  <c r="E13" i="13"/>
  <c r="F13" i="13" s="1"/>
  <c r="J12" i="13"/>
  <c r="K12" i="13" s="1"/>
  <c r="L12" i="13" s="1"/>
  <c r="E12" i="13"/>
  <c r="D12" i="13"/>
  <c r="J11" i="13"/>
  <c r="K11" i="13" s="1"/>
  <c r="E11" i="13"/>
  <c r="F11" i="13" s="1"/>
  <c r="J10" i="13"/>
  <c r="E10" i="13"/>
  <c r="J9" i="13"/>
  <c r="E8" i="13"/>
  <c r="J7" i="13"/>
  <c r="K7" i="13" s="1"/>
  <c r="E7" i="13"/>
  <c r="D7" i="13"/>
  <c r="J6" i="13"/>
  <c r="F6" i="13"/>
  <c r="D6" i="13"/>
  <c r="J5" i="13"/>
  <c r="K5" i="13" s="1"/>
  <c r="L5" i="13" s="1"/>
  <c r="E5" i="13"/>
  <c r="D5" i="13"/>
  <c r="H64" i="13" l="1"/>
  <c r="F67" i="13"/>
  <c r="G67" i="13" s="1"/>
  <c r="F5" i="13"/>
  <c r="E22" i="13"/>
  <c r="K10" i="13"/>
  <c r="L10" i="13" s="1"/>
  <c r="K15" i="13"/>
  <c r="L15" i="13" s="1"/>
  <c r="J8" i="13"/>
  <c r="K8" i="13" s="1"/>
  <c r="L8" i="13" s="1"/>
  <c r="K19" i="13"/>
  <c r="F27" i="13"/>
  <c r="G27" i="13" s="1"/>
  <c r="F57" i="13"/>
  <c r="G57" i="13" s="1"/>
  <c r="H76" i="13"/>
  <c r="I76" i="13" s="1"/>
  <c r="F76" i="13"/>
  <c r="G76" i="13" s="1"/>
  <c r="F69" i="13"/>
  <c r="H27" i="13"/>
  <c r="I27" i="13" s="1"/>
  <c r="M15" i="13"/>
  <c r="N15" i="13" s="1"/>
  <c r="E45" i="13"/>
  <c r="E94" i="13" s="1"/>
  <c r="F41" i="13"/>
  <c r="G41" i="13" s="1"/>
  <c r="G45" i="13" s="1"/>
  <c r="F65" i="13"/>
  <c r="H72" i="13"/>
  <c r="I72" i="13" s="1"/>
  <c r="F72" i="13"/>
  <c r="G72" i="13" s="1"/>
  <c r="F10" i="13"/>
  <c r="C20" i="13"/>
  <c r="C86" i="13" s="1"/>
  <c r="D11" i="13"/>
  <c r="D39" i="13"/>
  <c r="D13" i="13"/>
  <c r="D70" i="13"/>
  <c r="D25" i="13"/>
  <c r="B58" i="13"/>
  <c r="D55" i="13"/>
  <c r="D17" i="13"/>
  <c r="D8" i="13"/>
  <c r="D74" i="13"/>
  <c r="G10" i="13"/>
  <c r="M40" i="13"/>
  <c r="N40" i="13" s="1"/>
  <c r="J39" i="13"/>
  <c r="K39" i="13" s="1"/>
  <c r="L39" i="13" s="1"/>
  <c r="J74" i="13"/>
  <c r="K74" i="13" s="1"/>
  <c r="L74" i="13" s="1"/>
  <c r="B82" i="13"/>
  <c r="B100" i="13" s="1"/>
  <c r="J55" i="13"/>
  <c r="M55" i="13" s="1"/>
  <c r="N55" i="13" s="1"/>
  <c r="J70" i="13"/>
  <c r="K70" i="13" s="1"/>
  <c r="L70" i="13" s="1"/>
  <c r="I64" i="13"/>
  <c r="J25" i="13"/>
  <c r="K25" i="13" s="1"/>
  <c r="L25" i="13" s="1"/>
  <c r="K79" i="13"/>
  <c r="L79" i="13" s="1"/>
  <c r="M28" i="13"/>
  <c r="N28" i="13" s="1"/>
  <c r="H66" i="13"/>
  <c r="I66" i="13" s="1"/>
  <c r="M71" i="13"/>
  <c r="N71" i="13" s="1"/>
  <c r="J17" i="13"/>
  <c r="K17" i="13" s="1"/>
  <c r="L17" i="13" s="1"/>
  <c r="M69" i="13"/>
  <c r="N69" i="13" s="1"/>
  <c r="H15" i="13"/>
  <c r="I15" i="13" s="1"/>
  <c r="E75" i="13"/>
  <c r="H75" i="13" s="1"/>
  <c r="J82" i="13"/>
  <c r="H100" i="13" s="1"/>
  <c r="H65" i="13"/>
  <c r="I65" i="13" s="1"/>
  <c r="M68" i="13"/>
  <c r="N68" i="13" s="1"/>
  <c r="H41" i="13"/>
  <c r="I41" i="13" s="1"/>
  <c r="K76" i="13"/>
  <c r="L76" i="13" s="1"/>
  <c r="M67" i="13"/>
  <c r="N67" i="13" s="1"/>
  <c r="F8" i="13"/>
  <c r="G8" i="13" s="1"/>
  <c r="F50" i="13"/>
  <c r="G50" i="13" s="1"/>
  <c r="M66" i="13"/>
  <c r="N66" i="13" s="1"/>
  <c r="M64" i="13"/>
  <c r="M65" i="13"/>
  <c r="N65" i="13" s="1"/>
  <c r="M72" i="13"/>
  <c r="N72" i="13" s="1"/>
  <c r="E71" i="13"/>
  <c r="F71" i="13" s="1"/>
  <c r="G71" i="13" s="1"/>
  <c r="M48" i="13"/>
  <c r="H57" i="13"/>
  <c r="I57" i="13" s="1"/>
  <c r="E9" i="13"/>
  <c r="H9" i="13" s="1"/>
  <c r="E14" i="13"/>
  <c r="H14" i="13" s="1"/>
  <c r="I14" i="13" s="1"/>
  <c r="M56" i="13"/>
  <c r="N56" i="13" s="1"/>
  <c r="H51" i="13"/>
  <c r="I51" i="13" s="1"/>
  <c r="H10" i="13"/>
  <c r="I10" i="13" s="1"/>
  <c r="I22" i="13" s="1"/>
  <c r="J13" i="13"/>
  <c r="K13" i="13" s="1"/>
  <c r="L13" i="13" s="1"/>
  <c r="B60" i="13"/>
  <c r="B97" i="13" s="1"/>
  <c r="M51" i="13"/>
  <c r="N51" i="13" s="1"/>
  <c r="M57" i="13"/>
  <c r="N57" i="13" s="1"/>
  <c r="M32" i="13"/>
  <c r="N32" i="13" s="1"/>
  <c r="M53" i="13"/>
  <c r="N53" i="13" s="1"/>
  <c r="H6" i="13"/>
  <c r="I6" i="13" s="1"/>
  <c r="M10" i="13"/>
  <c r="N10" i="13" s="1"/>
  <c r="M52" i="13"/>
  <c r="N52" i="13" s="1"/>
  <c r="M78" i="13"/>
  <c r="N78" i="13" s="1"/>
  <c r="F49" i="13"/>
  <c r="G49" i="13" s="1"/>
  <c r="M6" i="13"/>
  <c r="N6" i="13" s="1"/>
  <c r="F52" i="13"/>
  <c r="G52" i="13" s="1"/>
  <c r="F79" i="13"/>
  <c r="G79" i="13" s="1"/>
  <c r="M50" i="13"/>
  <c r="N50" i="13" s="1"/>
  <c r="M77" i="13"/>
  <c r="N77" i="13" s="1"/>
  <c r="M49" i="13"/>
  <c r="N49" i="13" s="1"/>
  <c r="M75" i="13"/>
  <c r="N75" i="13" s="1"/>
  <c r="L73" i="13"/>
  <c r="G54" i="13"/>
  <c r="G6" i="13"/>
  <c r="C58" i="13"/>
  <c r="C33" i="13"/>
  <c r="L53" i="13"/>
  <c r="L32" i="13"/>
  <c r="L69" i="13"/>
  <c r="L29" i="13"/>
  <c r="G11" i="13"/>
  <c r="K6" i="13"/>
  <c r="L6" i="13" s="1"/>
  <c r="H32" i="13"/>
  <c r="I32" i="13" s="1"/>
  <c r="H28" i="13"/>
  <c r="I28" i="13" s="1"/>
  <c r="K38" i="13"/>
  <c r="L38" i="13" s="1"/>
  <c r="M18" i="13"/>
  <c r="B43" i="13"/>
  <c r="D43" i="13" s="1"/>
  <c r="L56" i="13"/>
  <c r="L7" i="13"/>
  <c r="G19" i="13"/>
  <c r="J35" i="13"/>
  <c r="L27" i="13"/>
  <c r="L48" i="13"/>
  <c r="L51" i="13"/>
  <c r="J22" i="13"/>
  <c r="M27" i="13"/>
  <c r="N27" i="13" s="1"/>
  <c r="N35" i="13" s="1"/>
  <c r="G31" i="13"/>
  <c r="E56" i="13"/>
  <c r="E60" i="13"/>
  <c r="E97" i="13" s="1"/>
  <c r="G32" i="13"/>
  <c r="K45" i="13"/>
  <c r="L41" i="13"/>
  <c r="H78" i="13"/>
  <c r="I78" i="13" s="1"/>
  <c r="F78" i="13"/>
  <c r="G78" i="13" s="1"/>
  <c r="M26" i="13"/>
  <c r="K71" i="13"/>
  <c r="L71" i="13" s="1"/>
  <c r="L78" i="13"/>
  <c r="K14" i="13"/>
  <c r="L14" i="13" s="1"/>
  <c r="G42" i="13"/>
  <c r="L50" i="13"/>
  <c r="E26" i="13"/>
  <c r="F26" i="13" s="1"/>
  <c r="G26" i="13" s="1"/>
  <c r="E35" i="13"/>
  <c r="K75" i="13"/>
  <c r="L75" i="13" s="1"/>
  <c r="F12" i="13"/>
  <c r="G12" i="13" s="1"/>
  <c r="G51" i="13"/>
  <c r="H69" i="13"/>
  <c r="I69" i="13" s="1"/>
  <c r="F39" i="13"/>
  <c r="G39" i="13" s="1"/>
  <c r="E40" i="13"/>
  <c r="H40" i="13" s="1"/>
  <c r="L30" i="13"/>
  <c r="H48" i="13"/>
  <c r="I48" i="13" s="1"/>
  <c r="F48" i="13"/>
  <c r="G48" i="13" s="1"/>
  <c r="L26" i="13"/>
  <c r="B33" i="13"/>
  <c r="G55" i="13"/>
  <c r="F60" i="13"/>
  <c r="F97" i="13" s="1"/>
  <c r="G97" i="13" s="1"/>
  <c r="G25" i="13"/>
  <c r="K40" i="13"/>
  <c r="L40" i="13" s="1"/>
  <c r="G70" i="13"/>
  <c r="F29" i="13"/>
  <c r="G29" i="13" s="1"/>
  <c r="L57" i="13"/>
  <c r="M14" i="13"/>
  <c r="G13" i="13"/>
  <c r="B91" i="13"/>
  <c r="E82" i="13"/>
  <c r="E100" i="13" s="1"/>
  <c r="F17" i="13"/>
  <c r="E18" i="13"/>
  <c r="L49" i="13"/>
  <c r="J60" i="13"/>
  <c r="F53" i="13"/>
  <c r="G53" i="13" s="1"/>
  <c r="F68" i="13"/>
  <c r="G68" i="13" s="1"/>
  <c r="G30" i="13"/>
  <c r="J45" i="13"/>
  <c r="H94" i="13" s="1"/>
  <c r="M41" i="13"/>
  <c r="N41" i="13" s="1"/>
  <c r="L67" i="13"/>
  <c r="F7" i="13"/>
  <c r="G7" i="13" s="1"/>
  <c r="G15" i="13"/>
  <c r="G73" i="13"/>
  <c r="G28" i="13"/>
  <c r="K9" i="13"/>
  <c r="L9" i="13" s="1"/>
  <c r="M9" i="13"/>
  <c r="L11" i="13"/>
  <c r="L65" i="13"/>
  <c r="G77" i="13"/>
  <c r="H77" i="13"/>
  <c r="I77" i="13" s="1"/>
  <c r="J80" i="13" l="1"/>
  <c r="M74" i="13"/>
  <c r="N74" i="13" s="1"/>
  <c r="J43" i="13"/>
  <c r="F22" i="13"/>
  <c r="G22" i="13" s="1"/>
  <c r="J33" i="13"/>
  <c r="J34" i="13" s="1"/>
  <c r="D33" i="13"/>
  <c r="F14" i="13"/>
  <c r="G14" i="13" s="1"/>
  <c r="K22" i="13"/>
  <c r="L22" i="13" s="1"/>
  <c r="L19" i="13"/>
  <c r="L82" i="13"/>
  <c r="J100" i="13" s="1"/>
  <c r="N82" i="13"/>
  <c r="G5" i="13"/>
  <c r="B80" i="13"/>
  <c r="D80" i="13" s="1"/>
  <c r="D20" i="13"/>
  <c r="G65" i="13"/>
  <c r="F82" i="13"/>
  <c r="K55" i="13"/>
  <c r="L55" i="13" s="1"/>
  <c r="J58" i="13"/>
  <c r="J59" i="13" s="1"/>
  <c r="G60" i="13"/>
  <c r="D58" i="13"/>
  <c r="H45" i="13"/>
  <c r="I45" i="13" s="1"/>
  <c r="M70" i="13"/>
  <c r="N70" i="13" s="1"/>
  <c r="K82" i="13"/>
  <c r="I100" i="13" s="1"/>
  <c r="F75" i="13"/>
  <c r="G75" i="13" s="1"/>
  <c r="E20" i="13"/>
  <c r="H22" i="13"/>
  <c r="F9" i="13"/>
  <c r="G9" i="13" s="1"/>
  <c r="F45" i="13"/>
  <c r="F94" i="13" s="1"/>
  <c r="G94" i="13" s="1"/>
  <c r="J81" i="13"/>
  <c r="J20" i="13"/>
  <c r="H71" i="13"/>
  <c r="I71" i="13" s="1"/>
  <c r="M60" i="13"/>
  <c r="N60" i="13"/>
  <c r="M58" i="13"/>
  <c r="N58" i="13" s="1"/>
  <c r="N48" i="13"/>
  <c r="H26" i="13"/>
  <c r="H25" i="13" s="1"/>
  <c r="H33" i="13" s="1"/>
  <c r="M22" i="13"/>
  <c r="N22" i="13" s="1"/>
  <c r="M82" i="13"/>
  <c r="E80" i="13"/>
  <c r="F80" i="13" s="1"/>
  <c r="H82" i="13"/>
  <c r="N64" i="13"/>
  <c r="I75" i="13"/>
  <c r="H74" i="13"/>
  <c r="I74" i="13" s="1"/>
  <c r="M25" i="13"/>
  <c r="N25" i="13" s="1"/>
  <c r="N26" i="13"/>
  <c r="I9" i="13"/>
  <c r="H8" i="13"/>
  <c r="I8" i="13" s="1"/>
  <c r="I94" i="13"/>
  <c r="L45" i="13"/>
  <c r="J94" i="13" s="1"/>
  <c r="H39" i="13"/>
  <c r="I40" i="13"/>
  <c r="H89" i="13"/>
  <c r="K33" i="13"/>
  <c r="G69" i="13"/>
  <c r="H91" i="13"/>
  <c r="H98" i="13"/>
  <c r="K80" i="13"/>
  <c r="H60" i="13"/>
  <c r="I60" i="13"/>
  <c r="H97" i="13"/>
  <c r="F40" i="13"/>
  <c r="E43" i="13"/>
  <c r="M35" i="13"/>
  <c r="E91" i="13"/>
  <c r="F35" i="13"/>
  <c r="H92" i="13"/>
  <c r="J44" i="13"/>
  <c r="K43" i="13"/>
  <c r="H95" i="13"/>
  <c r="E88" i="13"/>
  <c r="N14" i="13"/>
  <c r="M13" i="13"/>
  <c r="N13" i="13" s="1"/>
  <c r="B88" i="13"/>
  <c r="B103" i="13" s="1"/>
  <c r="C92" i="13"/>
  <c r="N9" i="13"/>
  <c r="M8" i="13"/>
  <c r="N8" i="13" s="1"/>
  <c r="H35" i="13"/>
  <c r="I35" i="13" s="1"/>
  <c r="C98" i="13"/>
  <c r="C95" i="13"/>
  <c r="B59" i="13"/>
  <c r="B95" i="13"/>
  <c r="B34" i="13"/>
  <c r="C89" i="13"/>
  <c r="B89" i="13"/>
  <c r="D89" i="13" s="1"/>
  <c r="H88" i="13"/>
  <c r="M45" i="13"/>
  <c r="N45" i="13" s="1"/>
  <c r="E33" i="13"/>
  <c r="F33" i="13" s="1"/>
  <c r="H13" i="13"/>
  <c r="I13" i="13" s="1"/>
  <c r="H18" i="13"/>
  <c r="F18" i="13"/>
  <c r="G18" i="13" s="1"/>
  <c r="B44" i="13"/>
  <c r="B93" i="13" s="1"/>
  <c r="B92" i="13"/>
  <c r="D92" i="13" s="1"/>
  <c r="G17" i="13"/>
  <c r="M39" i="13"/>
  <c r="N39" i="13" s="1"/>
  <c r="H56" i="13"/>
  <c r="F56" i="13"/>
  <c r="G56" i="13" s="1"/>
  <c r="E58" i="13"/>
  <c r="M17" i="13"/>
  <c r="N17" i="13" s="1"/>
  <c r="N18" i="13"/>
  <c r="M43" i="13"/>
  <c r="K58" i="13" l="1"/>
  <c r="B98" i="13"/>
  <c r="D98" i="13" s="1"/>
  <c r="B81" i="13"/>
  <c r="B99" i="13" s="1"/>
  <c r="M80" i="13"/>
  <c r="M81" i="13" s="1"/>
  <c r="B86" i="13"/>
  <c r="D86" i="13" s="1"/>
  <c r="G82" i="13"/>
  <c r="K20" i="13"/>
  <c r="I86" i="13" s="1"/>
  <c r="H86" i="13"/>
  <c r="F100" i="13"/>
  <c r="G100" i="13" s="1"/>
  <c r="D95" i="13"/>
  <c r="C101" i="13"/>
  <c r="F20" i="13"/>
  <c r="F86" i="13" s="1"/>
  <c r="E86" i="13"/>
  <c r="E21" i="13"/>
  <c r="F21" i="13" s="1"/>
  <c r="M33" i="13"/>
  <c r="N33" i="13" s="1"/>
  <c r="H101" i="13"/>
  <c r="J21" i="13"/>
  <c r="K21" i="13" s="1"/>
  <c r="N80" i="13"/>
  <c r="N81" i="13" s="1"/>
  <c r="I25" i="13"/>
  <c r="I33" i="13"/>
  <c r="M20" i="13"/>
  <c r="N20" i="13" s="1"/>
  <c r="I26" i="13"/>
  <c r="H80" i="13"/>
  <c r="M59" i="13"/>
  <c r="N59" i="13" s="1"/>
  <c r="E81" i="13"/>
  <c r="E99" i="13" s="1"/>
  <c r="E98" i="13"/>
  <c r="I82" i="13"/>
  <c r="F91" i="13"/>
  <c r="G91" i="13" s="1"/>
  <c r="G35" i="13"/>
  <c r="E44" i="13"/>
  <c r="E93" i="13" s="1"/>
  <c r="E92" i="13"/>
  <c r="L60" i="13"/>
  <c r="J97" i="13" s="1"/>
  <c r="I97" i="13"/>
  <c r="E103" i="13"/>
  <c r="I91" i="13"/>
  <c r="J91" i="13"/>
  <c r="L43" i="13"/>
  <c r="J92" i="13" s="1"/>
  <c r="I92" i="13"/>
  <c r="H103" i="13"/>
  <c r="K44" i="13"/>
  <c r="H93" i="13"/>
  <c r="I88" i="13"/>
  <c r="K34" i="13"/>
  <c r="H90" i="13"/>
  <c r="M44" i="13"/>
  <c r="N44" i="13" s="1"/>
  <c r="N43" i="13"/>
  <c r="I18" i="13"/>
  <c r="I20" i="13" s="1"/>
  <c r="H17" i="13"/>
  <c r="H20" i="13" s="1"/>
  <c r="L33" i="13"/>
  <c r="J89" i="13" s="1"/>
  <c r="I89" i="13"/>
  <c r="B90" i="13"/>
  <c r="B96" i="13"/>
  <c r="G80" i="13"/>
  <c r="F98" i="13"/>
  <c r="G98" i="13" s="1"/>
  <c r="L58" i="13"/>
  <c r="J95" i="13" s="1"/>
  <c r="I95" i="13"/>
  <c r="I39" i="13"/>
  <c r="H43" i="13"/>
  <c r="G40" i="13"/>
  <c r="F43" i="13"/>
  <c r="E59" i="13"/>
  <c r="E95" i="13"/>
  <c r="F58" i="13"/>
  <c r="H55" i="13"/>
  <c r="I55" i="13" s="1"/>
  <c r="I56" i="13"/>
  <c r="F88" i="13"/>
  <c r="B87" i="13"/>
  <c r="H59" i="13"/>
  <c r="I98" i="13"/>
  <c r="L80" i="13"/>
  <c r="J98" i="13" s="1"/>
  <c r="M21" i="13"/>
  <c r="N21" i="13" s="1"/>
  <c r="K59" i="13"/>
  <c r="H96" i="13"/>
  <c r="E34" i="13"/>
  <c r="E89" i="13"/>
  <c r="H99" i="13"/>
  <c r="K81" i="13"/>
  <c r="B101" i="13" l="1"/>
  <c r="E87" i="13"/>
  <c r="G20" i="13"/>
  <c r="M34" i="13"/>
  <c r="N34" i="13" s="1"/>
  <c r="H87" i="13"/>
  <c r="L20" i="13"/>
  <c r="J86" i="13" s="1"/>
  <c r="D101" i="13"/>
  <c r="G86" i="13"/>
  <c r="I103" i="13"/>
  <c r="H34" i="13"/>
  <c r="I34" i="13" s="1"/>
  <c r="F81" i="13"/>
  <c r="G81" i="13" s="1"/>
  <c r="E101" i="13"/>
  <c r="I80" i="13"/>
  <c r="H81" i="13"/>
  <c r="I81" i="13" s="1"/>
  <c r="B102" i="13"/>
  <c r="H102" i="13"/>
  <c r="C102" i="13"/>
  <c r="H58" i="13"/>
  <c r="I58" i="13" s="1"/>
  <c r="I59" i="13"/>
  <c r="I101" i="13"/>
  <c r="G58" i="13"/>
  <c r="F95" i="13"/>
  <c r="G95" i="13" s="1"/>
  <c r="J103" i="13"/>
  <c r="J88" i="13"/>
  <c r="I17" i="13"/>
  <c r="I21" i="13" s="1"/>
  <c r="H21" i="13"/>
  <c r="I99" i="13"/>
  <c r="L81" i="13"/>
  <c r="J99" i="13" s="1"/>
  <c r="I87" i="13"/>
  <c r="L21" i="13"/>
  <c r="F87" i="13"/>
  <c r="G21" i="13"/>
  <c r="F103" i="13"/>
  <c r="G103" i="13" s="1"/>
  <c r="G88" i="13"/>
  <c r="I90" i="13"/>
  <c r="L34" i="13"/>
  <c r="J90" i="13" s="1"/>
  <c r="F89" i="13"/>
  <c r="G89" i="13" s="1"/>
  <c r="G33" i="13"/>
  <c r="E90" i="13"/>
  <c r="F34" i="13"/>
  <c r="E96" i="13"/>
  <c r="F59" i="13"/>
  <c r="L59" i="13"/>
  <c r="J96" i="13" s="1"/>
  <c r="I96" i="13"/>
  <c r="G43" i="13"/>
  <c r="F44" i="13"/>
  <c r="F92" i="13"/>
  <c r="G92" i="13" s="1"/>
  <c r="I93" i="13"/>
  <c r="L44" i="13"/>
  <c r="J93" i="13" s="1"/>
  <c r="H44" i="13"/>
  <c r="I44" i="13" s="1"/>
  <c r="I43" i="13"/>
  <c r="F99" i="13" l="1"/>
  <c r="G99" i="13" s="1"/>
  <c r="J101" i="13"/>
  <c r="F101" i="13"/>
  <c r="G101" i="13" s="1"/>
  <c r="E102" i="13"/>
  <c r="I102" i="13"/>
  <c r="F93" i="13"/>
  <c r="G93" i="13" s="1"/>
  <c r="G44" i="13"/>
  <c r="J102" i="13"/>
  <c r="J87" i="13"/>
  <c r="F96" i="13"/>
  <c r="G96" i="13" s="1"/>
  <c r="G59" i="13"/>
  <c r="F90" i="13"/>
  <c r="G90" i="13" s="1"/>
  <c r="G34" i="13"/>
  <c r="G87" i="13"/>
  <c r="F102" i="13" l="1"/>
  <c r="G102" i="13" s="1"/>
  <c r="B5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tc={C1497FDD-9099-4A45-BDBE-D1635B322089}</author>
    <author>tc={A51F506B-76DA-4AE0-A12E-8D3E86E3F5B8}</author>
    <author>tc={3076E37A-35A5-4C35-80B3-36B9CA671F08}</author>
    <author>tc={42C7855B-0343-4EBF-ACD5-3FF242E3F3C5}</author>
    <author>tc={872DBFB0-4FBE-491F-99AF-E74544FA1C4C}</author>
  </authors>
  <commentList>
    <comment ref="H51" authorId="0" shapeId="0" xr:uid="{C1497FDD-9099-4A45-BDBE-D1635B322089}">
      <text>
        <t>[Kommenttiketju]
Excel-versiosi avulla voit lukea tämän kommenttiketjun, mutta siihen tehdyt muutokset poistetaan, jos tiedosto avataan uudemmassa Excel-versiossa. Lisätietoja: https://go.microsoft.com/fwlink/?linkid=870924
Kommentti:
    Lisätty Pyörön koulusta 61 oppilasta</t>
      </text>
    </comment>
    <comment ref="H57" authorId="1" shapeId="0" xr:uid="{A51F506B-76DA-4AE0-A12E-8D3E86E3F5B8}">
      <text>
        <t>[Kommenttiketju]
Excel-versiosi avulla voit lukea tämän kommenttiketjun, mutta siihen tehdyt muutokset poistetaan, jos tiedosto avataan uudemmassa Excel-versiossa. Lisätietoja: https://go.microsoft.com/fwlink/?linkid=870924
Kommentti:
    Vähennetty 61 oppilasta ja siirretty Jynkänlahden kouluun ja laskettu 150 oppilasta hiltulanlahtelaisia Neulasmäestä</t>
      </text>
    </comment>
    <comment ref="H65" authorId="2" shapeId="0" xr:uid="{3076E37A-35A5-4C35-80B3-36B9CA671F08}">
      <text>
        <t>[Kommenttiketju]
Excel-versiosi avulla voit lukea tämän kommenttiketjun, mutta siihen tehdyt muutokset poistetaan, jos tiedosto avataan uudemmassa Excel-versiossa. Lisätietoja: https://go.microsoft.com/fwlink/?linkid=870924
Kommentti:
    Hatsala toteutetaan puolikkaana</t>
      </text>
    </comment>
    <comment ref="H72" authorId="3" shapeId="0" xr:uid="{42C7855B-0343-4EBF-ACD5-3FF242E3F3C5}">
      <text>
        <t>[Kommenttiketju]
Excel-versiosi avulla voit lukea tämän kommenttiketjun, mutta siihen tehdyt muutokset poistetaan, jos tiedosto avataan uudemmassa Excel-versiossa. Lisätietoja: https://go.microsoft.com/fwlink/?linkid=870924
Kommentti:
    150 laskettu Pyöröön</t>
      </text>
    </comment>
    <comment ref="H76" authorId="4" shapeId="0" xr:uid="{872DBFB0-4FBE-491F-99AF-E74544FA1C4C}">
      <text>
        <t>[Kommenttiketju]
Excel-versiosi avulla voit lukea tämän kommenttiketjun, mutta siihen tehdyt muutokset poistetaan, jos tiedosto avataan uudemmassa Excel-versiossa. Lisätietoja: https://go.microsoft.com/fwlink/?linkid=870924
Kommentti:
    20 laskettu Siilinjärvelle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Sallinen, Jussi</author>
  </authors>
  <commentList>
    <comment ref="AI11" authorId="0" shapeId="0" xr:uid="{319A3630-8926-46F3-9F4A-C2BE80F5BACB}">
      <text>
        <r>
          <rPr>
            <b/>
            <sz val="9"/>
            <color indexed="81"/>
            <rFont val="Tahoma"/>
            <family val="2"/>
          </rPr>
          <t>Sallinen, Jussi:</t>
        </r>
        <r>
          <rPr>
            <sz val="9"/>
            <color indexed="81"/>
            <rFont val="Tahoma"/>
            <family val="2"/>
          </rPr>
          <t xml:space="preserve">
Päiväkotitila</t>
        </r>
      </text>
    </comment>
    <comment ref="AI13" authorId="0" shapeId="0" xr:uid="{935DAA63-9DDD-4A1F-BD21-1E790331B1E8}">
      <text>
        <r>
          <rPr>
            <b/>
            <sz val="9"/>
            <color indexed="81"/>
            <rFont val="Tahoma"/>
            <family val="2"/>
          </rPr>
          <t>Sallinen, Jussi:</t>
        </r>
        <r>
          <rPr>
            <sz val="9"/>
            <color indexed="81"/>
            <rFont val="Tahoma"/>
            <family val="2"/>
          </rPr>
          <t xml:space="preserve">
Vehmasmäen laajennus</t>
        </r>
      </text>
    </comment>
    <comment ref="AK13" authorId="0" shapeId="0" xr:uid="{BAF57849-115F-44B2-8B97-2EB8C0A2BF4C}">
      <text>
        <r>
          <rPr>
            <b/>
            <sz val="9"/>
            <color indexed="81"/>
            <rFont val="Tahoma"/>
            <family val="2"/>
          </rPr>
          <t>Sallinen, Jussi:</t>
        </r>
        <r>
          <rPr>
            <sz val="9"/>
            <color indexed="81"/>
            <rFont val="Tahoma"/>
            <family val="2"/>
          </rPr>
          <t xml:space="preserve">
Vehmasmäen vuokratilan perustus</t>
        </r>
      </text>
    </comment>
  </commentList>
</comments>
</file>

<file path=xl/sharedStrings.xml><?xml version="1.0" encoding="utf-8"?>
<sst xmlns="http://schemas.openxmlformats.org/spreadsheetml/2006/main" count="289" uniqueCount="185">
  <si>
    <t>Yläkoulu</t>
  </si>
  <si>
    <t>Tot. 6.11.2024</t>
  </si>
  <si>
    <t>Hatsala</t>
  </si>
  <si>
    <t>Juankoski</t>
  </si>
  <si>
    <t>Jynkänlahti</t>
  </si>
  <si>
    <t>Kissakuusi</t>
  </si>
  <si>
    <t>Maaninka</t>
  </si>
  <si>
    <t>Minna Canth</t>
  </si>
  <si>
    <t>Neulamäki</t>
  </si>
  <si>
    <t>Nilsiä</t>
  </si>
  <si>
    <t>Puijonsarvi</t>
  </si>
  <si>
    <t>Pyörö</t>
  </si>
  <si>
    <t>Riistavesi</t>
  </si>
  <si>
    <t>Vehmersalmi</t>
  </si>
  <si>
    <t>Oppilaaksiottoalue</t>
  </si>
  <si>
    <t>AURINKORINNE</t>
  </si>
  <si>
    <t>HAAPANIEMI</t>
  </si>
  <si>
    <t>HILTULANLAHTI</t>
  </si>
  <si>
    <t>JUANTEHDAS</t>
  </si>
  <si>
    <t>JYNKKÄ</t>
  </si>
  <si>
    <t>KALEVALA</t>
  </si>
  <si>
    <t>KETTULA</t>
  </si>
  <si>
    <t>KURKIMÄKI</t>
  </si>
  <si>
    <t>KÄÄRMELAHTI</t>
  </si>
  <si>
    <t>LÄNSI-PUIJO</t>
  </si>
  <si>
    <t>MAANINKAJÄRVI</t>
  </si>
  <si>
    <t>MARTTI AHTISAARI</t>
  </si>
  <si>
    <t>MUURUVESI</t>
  </si>
  <si>
    <t>NEULAMÄKI</t>
  </si>
  <si>
    <t>NIIRALA</t>
  </si>
  <si>
    <t>NILSIÄ</t>
  </si>
  <si>
    <t>PAJULAHTI</t>
  </si>
  <si>
    <t>PALONURMI</t>
  </si>
  <si>
    <t>PIHKAINMÄKI</t>
  </si>
  <si>
    <t>PIRTTI</t>
  </si>
  <si>
    <t>PUIJONSARVI</t>
  </si>
  <si>
    <t>PULKONKOSKI</t>
  </si>
  <si>
    <t>PYÖRÖ</t>
  </si>
  <si>
    <t>RAJALA</t>
  </si>
  <si>
    <t>RIISTAVESI</t>
  </si>
  <si>
    <t>SNELLMAN</t>
  </si>
  <si>
    <t>SYVÄNNIEMEN YKSIKKÖ</t>
  </si>
  <si>
    <t>SÄRKINIEMI</t>
  </si>
  <si>
    <t>VEHMASMÄKI</t>
  </si>
  <si>
    <t>VEHMERSALMI</t>
  </si>
  <si>
    <t>VON WRIGHT</t>
  </si>
  <si>
    <t>Itäinen Kuopio</t>
  </si>
  <si>
    <t>Palonurmen koulu</t>
  </si>
  <si>
    <t>Nilsiän yhtenäiskoulu</t>
  </si>
  <si>
    <t>Pajulahden koulu</t>
  </si>
  <si>
    <t>Juantehtaan koulu</t>
  </si>
  <si>
    <t>Muuruveden koulu</t>
  </si>
  <si>
    <t>Vehkalammin yksikkö</t>
  </si>
  <si>
    <t>Riistaveden yhtenäiskoulu</t>
  </si>
  <si>
    <t>Yhteensä</t>
  </si>
  <si>
    <t xml:space="preserve"> joista 7-9 luokilla</t>
  </si>
  <si>
    <t>Vehmersalmen koulu</t>
  </si>
  <si>
    <t>Lounainen Kuopio</t>
  </si>
  <si>
    <t>Vehmasmäen koulu</t>
  </si>
  <si>
    <t>Kurkimäen koulu</t>
  </si>
  <si>
    <t>Hiltulanlahden koulu</t>
  </si>
  <si>
    <t>Pihkainmäen koulu</t>
  </si>
  <si>
    <t>Syvänniemen yksikkö</t>
  </si>
  <si>
    <t>von Wrightin koulu</t>
  </si>
  <si>
    <t>Käärmelahden koulu</t>
  </si>
  <si>
    <t>Pulkonkosken koulu</t>
  </si>
  <si>
    <t>Maaninkajärven koulu</t>
  </si>
  <si>
    <t xml:space="preserve"> josta 7-9 luokilla</t>
  </si>
  <si>
    <t>Kantakaupunki</t>
  </si>
  <si>
    <t>Jynkän koulu</t>
  </si>
  <si>
    <t>Jynkänlahden koulu</t>
  </si>
  <si>
    <t>Martti Ahtisaaren koulu</t>
  </si>
  <si>
    <t>Aurinkorinteen koulu</t>
  </si>
  <si>
    <t>Pitkälahden yksikkö</t>
  </si>
  <si>
    <t>Pirtin koulu</t>
  </si>
  <si>
    <t>Pyörön koulu</t>
  </si>
  <si>
    <t>Puijonsarven koulu</t>
  </si>
  <si>
    <t>Kettulan koulu</t>
  </si>
  <si>
    <t>Länsi-Puijon koulu</t>
  </si>
  <si>
    <t>Rajalan koulu</t>
  </si>
  <si>
    <t>Snellmanin koulu</t>
  </si>
  <si>
    <t>Minna Canthin koulu</t>
  </si>
  <si>
    <t>Haapaniemen koulu</t>
  </si>
  <si>
    <t>Neulamäen koulu</t>
  </si>
  <si>
    <t>Särkiniemen koulu</t>
  </si>
  <si>
    <t>Hatsalan klassillinen koulu</t>
  </si>
  <si>
    <t>Kalevalan koulu</t>
  </si>
  <si>
    <t>Niiralan yksikkö</t>
  </si>
  <si>
    <t>Alavan koulu</t>
  </si>
  <si>
    <t>Kaikki 1-9 luokat</t>
  </si>
  <si>
    <t>Alue</t>
  </si>
  <si>
    <t xml:space="preserve"> joista 1-6 luokilla</t>
  </si>
  <si>
    <t xml:space="preserve"> josta 1-6 luokilla</t>
  </si>
  <si>
    <t>Luoteinen Kuopio</t>
  </si>
  <si>
    <t>Juankosken koulu (7-9 lk)</t>
  </si>
  <si>
    <t>Koulun uusi oppilasmäärä</t>
  </si>
  <si>
    <t>Muutos vuoteen 2030 mennessä</t>
  </si>
  <si>
    <t xml:space="preserve">   joista 1-6 luokilla</t>
  </si>
  <si>
    <t xml:space="preserve">   joista 7-9 luokilla</t>
  </si>
  <si>
    <t>Oppilasmäärä lv.  2024-2025</t>
  </si>
  <si>
    <t>Eteläiset kaupunkialueet</t>
  </si>
  <si>
    <t>Karttulan Kissakuusenkoulu (sis. Syväniemi)</t>
  </si>
  <si>
    <t xml:space="preserve"> josta 7-9 luokilla, sis. Jännevirta</t>
  </si>
  <si>
    <t>Alueen  lapsimäärä lv. 2029-2030</t>
  </si>
  <si>
    <t>Alueen lapsimäärä v. 2035</t>
  </si>
  <si>
    <t>Laskennallisesti opettajia 2035</t>
  </si>
  <si>
    <t>Muutos vuoteen 2035</t>
  </si>
  <si>
    <t>Laskennallisesti opettajia v. 2035</t>
  </si>
  <si>
    <t>Alueen lasten määrä v. 2035</t>
  </si>
  <si>
    <t>Koulun uusi oppilasmäärä 2035</t>
  </si>
  <si>
    <t>Laskennallinen ryhmäkoko</t>
  </si>
  <si>
    <t>Jännevirran alue</t>
  </si>
  <si>
    <t>KARTTULAN KISSAKUUSENKOULU</t>
  </si>
  <si>
    <t>Todellinen päätoimisten opettajien määrä</t>
  </si>
  <si>
    <t>Laskennallinen opettajaresurssi 2029-2030</t>
  </si>
  <si>
    <t>Muutos vuoteen 2035 mennessä</t>
  </si>
  <si>
    <t>Alakoulut yhteensä</t>
  </si>
  <si>
    <t>Yläkoulut yhteensä</t>
  </si>
  <si>
    <t>Koulut yhteensä</t>
  </si>
  <si>
    <t>Oppilaita per opettaja</t>
  </si>
  <si>
    <t>Palveluverkko-muutosten jälkeen laskennalliset opettajat  2029-2030</t>
  </si>
  <si>
    <t>Palveluverkko-muutosten jälkeen laskennalliset opettajat 2035</t>
  </si>
  <si>
    <t>Luokat 1-6</t>
  </si>
  <si>
    <t>Luokat 7-9</t>
  </si>
  <si>
    <t>Pohjatietona Kuopion kaupungin hyväksymä ja yhteistyössä MDI:n kanssa laadittu väestöennuste. Väestöennusteen tiedot kouluittain on laskettu väestöennusteen pohjalta Kuopion kaupungin toimesta.</t>
  </si>
  <si>
    <t>Tähän taulukkoon on viety 20.9.2024 päätoimiset opettajat pääkouluittain. Tieto saatu Kuopion kaupungilta.</t>
  </si>
  <si>
    <t>Muutoskohteet palveluverkkoselvityksen mukaan</t>
  </si>
  <si>
    <t>Koulut</t>
  </si>
  <si>
    <t>Koulu</t>
  </si>
  <si>
    <t>Pinta-ala brm2</t>
  </si>
  <si>
    <t>Pääoma-kustannus</t>
  </si>
  <si>
    <t>Maan-vuokra</t>
  </si>
  <si>
    <t>Kiinteistönhoito ja kunnossapito</t>
  </si>
  <si>
    <t>Siivous- kustannus</t>
  </si>
  <si>
    <t>Pääoma-kustannus yhteensä</t>
  </si>
  <si>
    <t>Kiinteistönhoito ja kunnossapito per vuosi</t>
  </si>
  <si>
    <t>Siivous- kustannus per vuosi</t>
  </si>
  <si>
    <t>Ylläpito-kustannus yhteensä vuodessa</t>
  </si>
  <si>
    <t>Kustannukset yhteensä</t>
  </si>
  <si>
    <t>Arvio toimenpiteistä palveluverkkomuutoksen jälkeen</t>
  </si>
  <si>
    <t>Arvio purkuhinnasta</t>
  </si>
  <si>
    <t>Säästyvä peruskorjausinvestointi</t>
  </si>
  <si>
    <t>Purkuhinta per brm2</t>
  </si>
  <si>
    <t>Vuosi</t>
  </si>
  <si>
    <t>Esitetyn ajankohdan alaskirjaus</t>
  </si>
  <si>
    <t>Tasearvo 2024</t>
  </si>
  <si>
    <t>Vuosipoisto</t>
  </si>
  <si>
    <t>Tasearvo 2025</t>
  </si>
  <si>
    <t>Tasearvo 2026</t>
  </si>
  <si>
    <t>Tasearvo 2027</t>
  </si>
  <si>
    <t>Tasearvo 2028</t>
  </si>
  <si>
    <t>Tasearvo 2029</t>
  </si>
  <si>
    <t>Tasearvo 2030</t>
  </si>
  <si>
    <t>Tasearvo 2031</t>
  </si>
  <si>
    <t>Tasearvo 2032</t>
  </si>
  <si>
    <t>Tasearvo 2033</t>
  </si>
  <si>
    <t>Tasearvo 2034</t>
  </si>
  <si>
    <t>Tasearvo 2035</t>
  </si>
  <si>
    <t>Juankosken koulu (7-9 luokat)</t>
  </si>
  <si>
    <t>Yläkoulun tilat ovat yhteiset tilat lukion kanssa. Tilat jäävät joko tyhjilleen ja myyntiin/purkuun tai alakoulu siirtyy näihin tiloihin.</t>
  </si>
  <si>
    <t xml:space="preserve">Muuruveden koulu (1-6 luokat) </t>
  </si>
  <si>
    <t>Purku</t>
  </si>
  <si>
    <t xml:space="preserve">Pajulahden koulu (1-6 luokat)    </t>
  </si>
  <si>
    <t>Myynti tai purku</t>
  </si>
  <si>
    <t xml:space="preserve">Palonurmen koulu (1-6 luokat)  </t>
  </si>
  <si>
    <t>Vehkalammin yksikkö (1-6 luokat)</t>
  </si>
  <si>
    <t>Myynti</t>
  </si>
  <si>
    <t>Vehmersalmen koulun 7-9 vuosiluokat</t>
  </si>
  <si>
    <t>Kiinteistö ja tilat ovat yhteiset alakoulun kanssa, tilat jäävät opetuksen käyttöön</t>
  </si>
  <si>
    <t>ei poistuvia tiloja</t>
  </si>
  <si>
    <t xml:space="preserve">Pihkainmäen koulu (1-6 luokat) </t>
  </si>
  <si>
    <t>Selvitettävä sopivatko koulun tilat Pihkapirtin päiväkodille. Purkuun tässä tapauksessa menisivät ruokala ja päiväkotirakennus 506 m2, muut tilat kunnostetaan päiväkodille.</t>
  </si>
  <si>
    <t>Syvänniemen yksikkö (1-2 luokat)</t>
  </si>
  <si>
    <t>Siirtyy varhaiskasvatuksen käyttöön</t>
  </si>
  <si>
    <t>Vehmasmäen koulu (luokat 1-6)</t>
  </si>
  <si>
    <t>Myynti ja osittainen purku (905 m2)</t>
  </si>
  <si>
    <t>Käärmelahden koulu (1-6)</t>
  </si>
  <si>
    <t>Pulkonkosken koulu (luokat 1-6)</t>
  </si>
  <si>
    <t>Myynti ja purku</t>
  </si>
  <si>
    <t>Muut tilat esikoulukäytössä. Osin purku (tontilla suojeltu rakennus). Harkittavaksi voidaanko hyödyntää tonttia varhaiskasvatuksen käytössä</t>
  </si>
  <si>
    <t>Poistuvat vuosipoistot</t>
  </si>
  <si>
    <t xml:space="preserve">Tasearvot laskettu vähentämällä tulevina vuosipoisto edellisen vuoden lopun tasearvosta, olettaen että kohteisiin ei tehdä uusia investointeja. </t>
  </si>
  <si>
    <t>Tietojen lähde Kuopion kaupunki</t>
  </si>
  <si>
    <t>-</t>
  </si>
  <si>
    <t>Laskennallisella ryhmäkoolla on laskettu lukuvuosien 2029-30 ja 2035 laskennalliset opettajamäärät. Luokkien 1-6 laskennallinen ryhmäkoko 14,2 on koko kaupungin keskiarvo lukuvuoden 2024-2025 oppilaita per opettaja suhdeluvusta. Luokkien 7-9 ryhmäkoko 23 on kaupunginvaltuuston linjauksen mukainen ryhmäkoko.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</si>
</sst>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#,##0.0"/>
    <numFmt numFmtId="168" formatCode="0.0_ ;[Red]\-0.0\ "/>
    <numFmt numFmtId="169" formatCode="#,##0.0_ ;[Red]\-#,##0.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2"/>
      <color theme="1"/>
      <name val="Apto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9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0" fillId="6" borderId="0" xfId="0" applyFill="1"/>
    <xf numFmtId="0" fontId="2" fillId="0" borderId="0" xfId="0" applyFont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65" fontId="12" fillId="7" borderId="1" xfId="1" applyNumberFormat="1" applyFont="1" applyFill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165" fontId="13" fillId="7" borderId="1" xfId="1" applyNumberFormat="1" applyFont="1" applyFill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165" fontId="13" fillId="7" borderId="14" xfId="1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165" fontId="12" fillId="7" borderId="7" xfId="1" applyNumberFormat="1" applyFont="1" applyFill="1" applyBorder="1" applyAlignment="1">
      <alignment vertical="center"/>
    </xf>
    <xf numFmtId="165" fontId="13" fillId="7" borderId="7" xfId="1" applyNumberFormat="1" applyFont="1" applyFill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165" fontId="13" fillId="7" borderId="21" xfId="1" applyNumberFormat="1" applyFont="1" applyFill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10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165" fontId="7" fillId="6" borderId="10" xfId="1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165" fontId="2" fillId="0" borderId="13" xfId="1" applyNumberFormat="1" applyFont="1" applyBorder="1" applyAlignment="1">
      <alignment horizontal="center" vertical="center"/>
    </xf>
    <xf numFmtId="165" fontId="6" fillId="0" borderId="10" xfId="1" applyNumberFormat="1" applyFont="1" applyBorder="1" applyAlignment="1">
      <alignment horizontal="center" vertical="center"/>
    </xf>
    <xf numFmtId="165" fontId="6" fillId="6" borderId="7" xfId="1" applyNumberFormat="1" applyFont="1" applyFill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 wrapText="1"/>
    </xf>
    <xf numFmtId="165" fontId="2" fillId="6" borderId="1" xfId="1" applyNumberFormat="1" applyFont="1" applyFill="1" applyBorder="1" applyAlignment="1">
      <alignment horizontal="center" vertical="center" wrapText="1"/>
    </xf>
    <xf numFmtId="165" fontId="2" fillId="0" borderId="10" xfId="1" applyNumberFormat="1" applyFont="1" applyBorder="1" applyAlignment="1">
      <alignment horizontal="center" vertical="center" wrapText="1"/>
    </xf>
    <xf numFmtId="165" fontId="2" fillId="6" borderId="13" xfId="1" applyNumberFormat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6" borderId="10" xfId="1" applyNumberFormat="1" applyFont="1" applyFill="1" applyBorder="1" applyAlignment="1">
      <alignment horizontal="center" vertical="center" wrapText="1"/>
    </xf>
    <xf numFmtId="165" fontId="6" fillId="0" borderId="10" xfId="1" applyNumberFormat="1" applyFont="1" applyBorder="1" applyAlignment="1">
      <alignment horizontal="center" vertical="center" wrapText="1"/>
    </xf>
    <xf numFmtId="165" fontId="6" fillId="6" borderId="7" xfId="1" applyNumberFormat="1" applyFont="1" applyFill="1" applyBorder="1" applyAlignment="1">
      <alignment horizontal="center" vertical="center" wrapText="1"/>
    </xf>
    <xf numFmtId="0" fontId="0" fillId="8" borderId="0" xfId="0" applyFill="1"/>
    <xf numFmtId="165" fontId="13" fillId="7" borderId="13" xfId="1" applyNumberFormat="1" applyFont="1" applyFill="1" applyBorder="1" applyAlignment="1">
      <alignment vertical="center"/>
    </xf>
    <xf numFmtId="0" fontId="10" fillId="0" borderId="0" xfId="0" applyFont="1"/>
    <xf numFmtId="166" fontId="2" fillId="6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6" fillId="0" borderId="7" xfId="1" applyNumberFormat="1" applyFont="1" applyBorder="1" applyAlignment="1">
      <alignment horizontal="center" vertical="center"/>
    </xf>
    <xf numFmtId="1" fontId="6" fillId="0" borderId="2" xfId="1" applyNumberFormat="1" applyFont="1" applyBorder="1" applyAlignment="1">
      <alignment horizontal="right" vertical="center" wrapText="1"/>
    </xf>
    <xf numFmtId="1" fontId="6" fillId="0" borderId="1" xfId="1" applyNumberFormat="1" applyFont="1" applyBorder="1" applyAlignment="1">
      <alignment horizontal="right" vertical="center" wrapText="1"/>
    </xf>
    <xf numFmtId="1" fontId="6" fillId="6" borderId="1" xfId="1" applyNumberFormat="1" applyFont="1" applyFill="1" applyBorder="1" applyAlignment="1">
      <alignment horizontal="right" vertical="center" wrapText="1"/>
    </xf>
    <xf numFmtId="1" fontId="2" fillId="0" borderId="1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1" fontId="2" fillId="6" borderId="1" xfId="0" applyNumberFormat="1" applyFont="1" applyFill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2" fillId="6" borderId="7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7" fillId="0" borderId="6" xfId="1" applyNumberFormat="1" applyFont="1" applyBorder="1" applyAlignment="1">
      <alignment horizontal="center" vertical="center"/>
    </xf>
    <xf numFmtId="1" fontId="7" fillId="6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" fontId="7" fillId="6" borderId="13" xfId="1" applyNumberFormat="1" applyFont="1" applyFill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1" fontId="6" fillId="6" borderId="10" xfId="1" applyNumberFormat="1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" fontId="2" fillId="0" borderId="13" xfId="1" applyNumberFormat="1" applyFont="1" applyBorder="1" applyAlignment="1">
      <alignment horizontal="center" vertical="center"/>
    </xf>
    <xf numFmtId="1" fontId="6" fillId="0" borderId="2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6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right" vertical="center" wrapText="1"/>
    </xf>
    <xf numFmtId="1" fontId="2" fillId="0" borderId="1" xfId="1" applyNumberFormat="1" applyFont="1" applyBorder="1" applyAlignment="1">
      <alignment horizontal="right" vertical="center"/>
    </xf>
    <xf numFmtId="1" fontId="7" fillId="6" borderId="1" xfId="1" applyNumberFormat="1" applyFont="1" applyFill="1" applyBorder="1" applyAlignment="1">
      <alignment horizontal="right" vertical="center"/>
    </xf>
    <xf numFmtId="1" fontId="2" fillId="0" borderId="13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7" fillId="6" borderId="1" xfId="1" applyNumberFormat="1" applyFont="1" applyFill="1" applyBorder="1" applyAlignment="1">
      <alignment horizontal="right" vertical="center"/>
    </xf>
    <xf numFmtId="164" fontId="2" fillId="0" borderId="13" xfId="1" applyNumberFormat="1" applyFont="1" applyBorder="1" applyAlignment="1">
      <alignment horizontal="right" vertical="center"/>
    </xf>
    <xf numFmtId="1" fontId="2" fillId="6" borderId="1" xfId="1" applyNumberFormat="1" applyFont="1" applyFill="1" applyBorder="1" applyAlignment="1">
      <alignment horizontal="center" vertical="center"/>
    </xf>
    <xf numFmtId="1" fontId="7" fillId="6" borderId="10" xfId="1" applyNumberFormat="1" applyFont="1" applyFill="1" applyBorder="1" applyAlignment="1">
      <alignment horizontal="center" vertical="center"/>
    </xf>
    <xf numFmtId="1" fontId="6" fillId="0" borderId="2" xfId="1" applyNumberFormat="1" applyFont="1" applyBorder="1" applyAlignment="1">
      <alignment horizontal="center" vertical="center"/>
    </xf>
    <xf numFmtId="1" fontId="2" fillId="6" borderId="1" xfId="1" applyNumberFormat="1" applyFont="1" applyFill="1" applyBorder="1" applyAlignment="1">
      <alignment horizontal="right" vertical="center"/>
    </xf>
    <xf numFmtId="1" fontId="7" fillId="0" borderId="1" xfId="1" applyNumberFormat="1" applyFont="1" applyBorder="1" applyAlignment="1">
      <alignment horizontal="right" vertical="center"/>
    </xf>
    <xf numFmtId="1" fontId="7" fillId="6" borderId="10" xfId="1" applyNumberFormat="1" applyFont="1" applyFill="1" applyBorder="1" applyAlignment="1">
      <alignment horizontal="right" vertical="center"/>
    </xf>
    <xf numFmtId="1" fontId="7" fillId="6" borderId="13" xfId="1" applyNumberFormat="1" applyFont="1" applyFill="1" applyBorder="1" applyAlignment="1">
      <alignment horizontal="right" vertical="center"/>
    </xf>
    <xf numFmtId="1" fontId="6" fillId="0" borderId="7" xfId="1" applyNumberFormat="1" applyFont="1" applyBorder="1" applyAlignment="1">
      <alignment horizontal="right" vertical="center"/>
    </xf>
    <xf numFmtId="1" fontId="6" fillId="0" borderId="2" xfId="1" applyNumberFormat="1" applyFont="1" applyBorder="1" applyAlignment="1">
      <alignment horizontal="right" vertical="center"/>
    </xf>
    <xf numFmtId="1" fontId="6" fillId="6" borderId="10" xfId="1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" fontId="6" fillId="0" borderId="10" xfId="1" applyNumberFormat="1" applyFont="1" applyBorder="1" applyAlignment="1">
      <alignment horizontal="center" vertical="center"/>
    </xf>
    <xf numFmtId="1" fontId="6" fillId="6" borderId="7" xfId="1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1" fontId="2" fillId="0" borderId="10" xfId="1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2" fillId="6" borderId="13" xfId="0" applyFont="1" applyFill="1" applyBorder="1" applyAlignment="1">
      <alignment horizontal="right" vertical="center"/>
    </xf>
    <xf numFmtId="164" fontId="2" fillId="6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7" fillId="6" borderId="10" xfId="1" applyNumberFormat="1" applyFont="1" applyFill="1" applyBorder="1" applyAlignment="1">
      <alignment horizontal="right" vertical="center"/>
    </xf>
    <xf numFmtId="164" fontId="7" fillId="6" borderId="13" xfId="1" applyNumberFormat="1" applyFont="1" applyFill="1" applyBorder="1" applyAlignment="1">
      <alignment horizontal="right" vertical="center"/>
    </xf>
    <xf numFmtId="164" fontId="6" fillId="0" borderId="7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164" fontId="6" fillId="6" borderId="10" xfId="1" applyNumberFormat="1" applyFont="1" applyFill="1" applyBorder="1" applyAlignment="1">
      <alignment horizontal="right" vertical="center"/>
    </xf>
    <xf numFmtId="164" fontId="2" fillId="6" borderId="6" xfId="1" applyNumberFormat="1" applyFont="1" applyFill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7" fillId="0" borderId="6" xfId="1" applyNumberFormat="1" applyFont="1" applyBorder="1" applyAlignment="1">
      <alignment horizontal="right" vertical="center"/>
    </xf>
    <xf numFmtId="164" fontId="7" fillId="0" borderId="10" xfId="1" applyNumberFormat="1" applyFont="1" applyBorder="1" applyAlignment="1">
      <alignment horizontal="right" vertical="center"/>
    </xf>
    <xf numFmtId="164" fontId="2" fillId="6" borderId="7" xfId="1" applyNumberFormat="1" applyFont="1" applyFill="1" applyBorder="1" applyAlignment="1">
      <alignment horizontal="center" vertical="center" wrapText="1"/>
    </xf>
    <xf numFmtId="164" fontId="2" fillId="6" borderId="13" xfId="1" applyNumberFormat="1" applyFont="1" applyFill="1" applyBorder="1" applyAlignment="1">
      <alignment horizontal="center" vertical="center" wrapText="1"/>
    </xf>
    <xf numFmtId="166" fontId="2" fillId="0" borderId="13" xfId="1" applyNumberFormat="1" applyFont="1" applyBorder="1" applyAlignment="1">
      <alignment horizontal="center" vertical="center"/>
    </xf>
    <xf numFmtId="166" fontId="6" fillId="0" borderId="10" xfId="1" applyNumberFormat="1" applyFont="1" applyBorder="1" applyAlignment="1">
      <alignment horizontal="center" vertical="center"/>
    </xf>
    <xf numFmtId="166" fontId="6" fillId="6" borderId="7" xfId="1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6" borderId="1" xfId="0" applyNumberFormat="1" applyFont="1" applyFill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6" borderId="1" xfId="0" applyNumberFormat="1" applyFont="1" applyFill="1" applyBorder="1" applyAlignment="1">
      <alignment horizontal="right"/>
    </xf>
    <xf numFmtId="164" fontId="2" fillId="6" borderId="13" xfId="0" applyNumberFormat="1" applyFont="1" applyFill="1" applyBorder="1" applyAlignment="1">
      <alignment horizontal="right"/>
    </xf>
    <xf numFmtId="164" fontId="6" fillId="0" borderId="1" xfId="0" applyNumberFormat="1" applyFont="1" applyBorder="1" applyAlignment="1">
      <alignment horizontal="right" vertical="center"/>
    </xf>
    <xf numFmtId="164" fontId="2" fillId="6" borderId="10" xfId="0" applyNumberFormat="1" applyFont="1" applyFill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2" fillId="6" borderId="13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indent="1"/>
    </xf>
    <xf numFmtId="164" fontId="2" fillId="6" borderId="1" xfId="0" applyNumberFormat="1" applyFont="1" applyFill="1" applyBorder="1" applyAlignment="1">
      <alignment horizontal="right" vertical="center" indent="1"/>
    </xf>
    <xf numFmtId="164" fontId="2" fillId="0" borderId="13" xfId="0" applyNumberFormat="1" applyFont="1" applyBorder="1" applyAlignment="1">
      <alignment horizontal="right" vertical="center" indent="1"/>
    </xf>
    <xf numFmtId="1" fontId="2" fillId="0" borderId="13" xfId="0" applyNumberFormat="1" applyFont="1" applyBorder="1" applyAlignment="1">
      <alignment horizontal="right" vertical="center"/>
    </xf>
    <xf numFmtId="1" fontId="6" fillId="0" borderId="7" xfId="0" applyNumberFormat="1" applyFont="1" applyBorder="1" applyAlignment="1">
      <alignment horizontal="right" vertical="center"/>
    </xf>
    <xf numFmtId="164" fontId="2" fillId="6" borderId="1" xfId="0" applyNumberFormat="1" applyFont="1" applyFill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20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left" vertical="center" wrapText="1"/>
    </xf>
    <xf numFmtId="1" fontId="6" fillId="6" borderId="1" xfId="1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164" fontId="2" fillId="6" borderId="13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right" vertical="center" indent="1"/>
    </xf>
    <xf numFmtId="1" fontId="6" fillId="0" borderId="1" xfId="0" applyNumberFormat="1" applyFont="1" applyBorder="1" applyAlignment="1">
      <alignment horizontal="right" vertical="center" indent="1"/>
    </xf>
    <xf numFmtId="1" fontId="6" fillId="6" borderId="29" xfId="0" applyNumberFormat="1" applyFont="1" applyFill="1" applyBorder="1" applyAlignment="1">
      <alignment horizontal="right" vertical="center" indent="1"/>
    </xf>
    <xf numFmtId="166" fontId="6" fillId="6" borderId="29" xfId="1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0" fontId="8" fillId="0" borderId="1" xfId="0" applyFont="1" applyBorder="1"/>
    <xf numFmtId="1" fontId="8" fillId="0" borderId="1" xfId="0" applyNumberFormat="1" applyFont="1" applyBorder="1"/>
    <xf numFmtId="0" fontId="10" fillId="4" borderId="7" xfId="0" applyFont="1" applyFill="1" applyBorder="1"/>
    <xf numFmtId="1" fontId="10" fillId="4" borderId="7" xfId="0" applyNumberFormat="1" applyFont="1" applyFill="1" applyBorder="1"/>
    <xf numFmtId="0" fontId="8" fillId="0" borderId="13" xfId="0" applyFont="1" applyBorder="1"/>
    <xf numFmtId="1" fontId="8" fillId="0" borderId="13" xfId="0" applyNumberFormat="1" applyFont="1" applyBorder="1"/>
    <xf numFmtId="0" fontId="9" fillId="0" borderId="1" xfId="0" applyFont="1" applyBorder="1"/>
    <xf numFmtId="3" fontId="9" fillId="0" borderId="1" xfId="0" applyNumberFormat="1" applyFont="1" applyBorder="1"/>
    <xf numFmtId="0" fontId="9" fillId="0" borderId="13" xfId="0" applyFont="1" applyBorder="1"/>
    <xf numFmtId="3" fontId="9" fillId="0" borderId="13" xfId="0" applyNumberFormat="1" applyFont="1" applyBorder="1"/>
    <xf numFmtId="164" fontId="2" fillId="0" borderId="1" xfId="1" applyNumberFormat="1" applyFont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6" borderId="13" xfId="1" applyNumberFormat="1" applyFont="1" applyFill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164" fontId="6" fillId="6" borderId="2" xfId="1" applyNumberFormat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164" fontId="2" fillId="9" borderId="18" xfId="0" applyNumberFormat="1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164" fontId="2" fillId="6" borderId="13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6" borderId="1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6" borderId="13" xfId="0" applyNumberFormat="1" applyFont="1" applyFill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6" borderId="23" xfId="0" applyNumberFormat="1" applyFont="1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67" fontId="6" fillId="6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3" fontId="2" fillId="6" borderId="13" xfId="0" applyNumberFormat="1" applyFont="1" applyFill="1" applyBorder="1" applyAlignment="1">
      <alignment horizontal="right" vertical="center" wrapText="1"/>
    </xf>
    <xf numFmtId="1" fontId="6" fillId="0" borderId="2" xfId="0" applyNumberFormat="1" applyFont="1" applyBorder="1" applyAlignment="1">
      <alignment horizontal="right" vertical="center" wrapText="1"/>
    </xf>
    <xf numFmtId="1" fontId="6" fillId="0" borderId="10" xfId="0" applyNumberFormat="1" applyFont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1" fontId="2" fillId="6" borderId="1" xfId="0" applyNumberFormat="1" applyFont="1" applyFill="1" applyBorder="1" applyAlignment="1">
      <alignment horizontal="right" vertical="center" wrapText="1"/>
    </xf>
    <xf numFmtId="1" fontId="2" fillId="0" borderId="13" xfId="0" applyNumberFormat="1" applyFont="1" applyBorder="1" applyAlignment="1">
      <alignment horizontal="right" vertical="center" wrapText="1"/>
    </xf>
    <xf numFmtId="1" fontId="6" fillId="0" borderId="7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right" vertical="center" wrapText="1"/>
    </xf>
    <xf numFmtId="1" fontId="6" fillId="6" borderId="1" xfId="0" applyNumberFormat="1" applyFont="1" applyFill="1" applyBorder="1" applyAlignment="1">
      <alignment horizontal="right" vertical="center" wrapText="1"/>
    </xf>
    <xf numFmtId="164" fontId="2" fillId="6" borderId="25" xfId="1" applyNumberFormat="1" applyFont="1" applyFill="1" applyBorder="1" applyAlignment="1">
      <alignment horizontal="center" vertical="center"/>
    </xf>
    <xf numFmtId="166" fontId="2" fillId="0" borderId="10" xfId="1" applyNumberFormat="1" applyFont="1" applyBorder="1" applyAlignment="1">
      <alignment horizontal="center" vertical="center"/>
    </xf>
    <xf numFmtId="166" fontId="2" fillId="6" borderId="10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168" fontId="12" fillId="0" borderId="1" xfId="1" applyNumberFormat="1" applyFont="1" applyFill="1" applyBorder="1" applyAlignment="1">
      <alignment vertical="center"/>
    </xf>
    <xf numFmtId="168" fontId="12" fillId="0" borderId="6" xfId="1" applyNumberFormat="1" applyFont="1" applyFill="1" applyBorder="1" applyAlignment="1">
      <alignment vertical="center"/>
    </xf>
    <xf numFmtId="168" fontId="12" fillId="0" borderId="6" xfId="1" applyNumberFormat="1" applyFont="1" applyFill="1" applyBorder="1" applyAlignment="1">
      <alignment horizontal="right" vertical="center" wrapText="1"/>
    </xf>
    <xf numFmtId="168" fontId="12" fillId="0" borderId="1" xfId="1" applyNumberFormat="1" applyFont="1" applyFill="1" applyBorder="1" applyAlignment="1">
      <alignment horizontal="right" vertical="center" wrapText="1"/>
    </xf>
    <xf numFmtId="168" fontId="12" fillId="0" borderId="1" xfId="1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vertical="center"/>
    </xf>
    <xf numFmtId="168" fontId="13" fillId="0" borderId="6" xfId="1" applyNumberFormat="1" applyFont="1" applyFill="1" applyBorder="1" applyAlignment="1">
      <alignment vertical="center"/>
    </xf>
    <xf numFmtId="168" fontId="13" fillId="0" borderId="6" xfId="1" applyNumberFormat="1" applyFont="1" applyFill="1" applyBorder="1" applyAlignment="1">
      <alignment horizontal="righ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0" borderId="14" xfId="1" applyNumberFormat="1" applyFont="1" applyFill="1" applyBorder="1" applyAlignment="1">
      <alignment vertical="center"/>
    </xf>
    <xf numFmtId="168" fontId="13" fillId="0" borderId="15" xfId="1" applyNumberFormat="1" applyFont="1" applyFill="1" applyBorder="1" applyAlignment="1">
      <alignment vertical="center"/>
    </xf>
    <xf numFmtId="168" fontId="13" fillId="0" borderId="15" xfId="1" applyNumberFormat="1" applyFont="1" applyFill="1" applyBorder="1" applyAlignment="1">
      <alignment horizontal="right" vertical="center" wrapText="1"/>
    </xf>
    <xf numFmtId="168" fontId="13" fillId="0" borderId="14" xfId="1" applyNumberFormat="1" applyFont="1" applyFill="1" applyBorder="1" applyAlignment="1">
      <alignment horizontal="right" vertical="center" wrapText="1"/>
    </xf>
    <xf numFmtId="168" fontId="13" fillId="0" borderId="14" xfId="1" applyNumberFormat="1" applyFont="1" applyFill="1" applyBorder="1" applyAlignment="1">
      <alignment horizontal="center" vertical="center" wrapText="1"/>
    </xf>
    <xf numFmtId="168" fontId="12" fillId="7" borderId="7" xfId="1" applyNumberFormat="1" applyFont="1" applyFill="1" applyBorder="1" applyAlignment="1">
      <alignment vertical="center"/>
    </xf>
    <xf numFmtId="168" fontId="12" fillId="0" borderId="7" xfId="1" applyNumberFormat="1" applyFont="1" applyFill="1" applyBorder="1" applyAlignment="1">
      <alignment vertical="center"/>
    </xf>
    <xf numFmtId="168" fontId="12" fillId="0" borderId="8" xfId="1" applyNumberFormat="1" applyFont="1" applyFill="1" applyBorder="1" applyAlignment="1">
      <alignment horizontal="right" vertical="center" wrapText="1"/>
    </xf>
    <xf numFmtId="168" fontId="12" fillId="0" borderId="7" xfId="1" applyNumberFormat="1" applyFont="1" applyFill="1" applyBorder="1" applyAlignment="1">
      <alignment horizontal="right" vertical="center" wrapText="1"/>
    </xf>
    <xf numFmtId="168" fontId="12" fillId="0" borderId="7" xfId="1" applyNumberFormat="1" applyFont="1" applyFill="1" applyBorder="1" applyAlignment="1">
      <alignment horizontal="center" vertical="center" wrapText="1"/>
    </xf>
    <xf numFmtId="168" fontId="13" fillId="0" borderId="7" xfId="1" applyNumberFormat="1" applyFont="1" applyFill="1" applyBorder="1" applyAlignment="1">
      <alignment vertical="center"/>
    </xf>
    <xf numFmtId="168" fontId="13" fillId="0" borderId="22" xfId="1" applyNumberFormat="1" applyFont="1" applyFill="1" applyBorder="1" applyAlignment="1">
      <alignment vertical="center"/>
    </xf>
    <xf numFmtId="168" fontId="13" fillId="0" borderId="16" xfId="1" applyNumberFormat="1" applyFont="1" applyFill="1" applyBorder="1" applyAlignment="1">
      <alignment horizontal="right" vertical="center" wrapText="1"/>
    </xf>
    <xf numFmtId="168" fontId="13" fillId="0" borderId="13" xfId="1" applyNumberFormat="1" applyFont="1" applyFill="1" applyBorder="1" applyAlignment="1">
      <alignment horizontal="right" vertical="center" wrapText="1"/>
    </xf>
    <xf numFmtId="168" fontId="13" fillId="0" borderId="13" xfId="1" applyNumberFormat="1" applyFont="1" applyFill="1" applyBorder="1" applyAlignment="1">
      <alignment horizontal="center" vertical="center" wrapText="1"/>
    </xf>
    <xf numFmtId="168" fontId="12" fillId="7" borderId="7" xfId="1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/>
    </xf>
    <xf numFmtId="165" fontId="13" fillId="0" borderId="1" xfId="1" applyNumberFormat="1" applyFont="1" applyFill="1" applyBorder="1" applyAlignment="1">
      <alignment horizontal="right" vertical="center"/>
    </xf>
    <xf numFmtId="165" fontId="13" fillId="0" borderId="14" xfId="1" applyNumberFormat="1" applyFont="1" applyFill="1" applyBorder="1" applyAlignment="1">
      <alignment horizontal="right" vertical="center"/>
    </xf>
    <xf numFmtId="165" fontId="12" fillId="0" borderId="7" xfId="1" applyNumberFormat="1" applyFont="1" applyFill="1" applyBorder="1" applyAlignment="1">
      <alignment horizontal="right" vertical="center"/>
    </xf>
    <xf numFmtId="165" fontId="13" fillId="0" borderId="7" xfId="1" applyNumberFormat="1" applyFont="1" applyFill="1" applyBorder="1" applyAlignment="1">
      <alignment horizontal="right" vertical="center"/>
    </xf>
    <xf numFmtId="165" fontId="13" fillId="0" borderId="22" xfId="1" applyNumberFormat="1" applyFont="1" applyFill="1" applyBorder="1" applyAlignment="1">
      <alignment horizontal="right" vertical="center"/>
    </xf>
    <xf numFmtId="165" fontId="12" fillId="7" borderId="7" xfId="1" applyNumberFormat="1" applyFont="1" applyFill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168" fontId="2" fillId="6" borderId="1" xfId="0" applyNumberFormat="1" applyFont="1" applyFill="1" applyBorder="1" applyAlignment="1">
      <alignment horizontal="right" vertical="center" wrapText="1"/>
    </xf>
    <xf numFmtId="168" fontId="7" fillId="0" borderId="1" xfId="0" applyNumberFormat="1" applyFont="1" applyBorder="1" applyAlignment="1">
      <alignment horizontal="right" vertical="center" wrapText="1"/>
    </xf>
    <xf numFmtId="168" fontId="2" fillId="0" borderId="13" xfId="0" applyNumberFormat="1" applyFont="1" applyBorder="1" applyAlignment="1">
      <alignment horizontal="right" vertical="center" wrapText="1"/>
    </xf>
    <xf numFmtId="168" fontId="6" fillId="0" borderId="7" xfId="0" applyNumberFormat="1" applyFont="1" applyBorder="1" applyAlignment="1">
      <alignment horizontal="right" vertical="center" wrapText="1"/>
    </xf>
    <xf numFmtId="168" fontId="6" fillId="0" borderId="1" xfId="0" applyNumberFormat="1" applyFont="1" applyBorder="1" applyAlignment="1">
      <alignment horizontal="right" vertical="center" wrapText="1"/>
    </xf>
    <xf numFmtId="168" fontId="6" fillId="6" borderId="1" xfId="0" applyNumberFormat="1" applyFont="1" applyFill="1" applyBorder="1" applyAlignment="1">
      <alignment horizontal="right" vertical="center"/>
    </xf>
    <xf numFmtId="168" fontId="2" fillId="0" borderId="6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/>
    </xf>
    <xf numFmtId="168" fontId="2" fillId="6" borderId="6" xfId="0" applyNumberFormat="1" applyFont="1" applyFill="1" applyBorder="1" applyAlignment="1">
      <alignment horizontal="right" vertical="center"/>
    </xf>
    <xf numFmtId="168" fontId="2" fillId="6" borderId="13" xfId="0" applyNumberFormat="1" applyFont="1" applyFill="1" applyBorder="1" applyAlignment="1">
      <alignment horizontal="right" vertical="center"/>
    </xf>
    <xf numFmtId="168" fontId="6" fillId="0" borderId="2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9" fontId="2" fillId="0" borderId="6" xfId="1" applyNumberFormat="1" applyFont="1" applyBorder="1" applyAlignment="1">
      <alignment horizontal="right" vertical="center"/>
    </xf>
    <xf numFmtId="169" fontId="2" fillId="6" borderId="6" xfId="1" applyNumberFormat="1" applyFont="1" applyFill="1" applyBorder="1" applyAlignment="1">
      <alignment horizontal="right" vertical="center"/>
    </xf>
    <xf numFmtId="169" fontId="2" fillId="0" borderId="16" xfId="1" applyNumberFormat="1" applyFont="1" applyBorder="1" applyAlignment="1">
      <alignment horizontal="right" vertical="center"/>
    </xf>
    <xf numFmtId="169" fontId="6" fillId="0" borderId="2" xfId="1" applyNumberFormat="1" applyFont="1" applyBorder="1" applyAlignment="1">
      <alignment horizontal="right" vertical="center"/>
    </xf>
    <xf numFmtId="169" fontId="6" fillId="0" borderId="10" xfId="1" applyNumberFormat="1" applyFont="1" applyBorder="1" applyAlignment="1">
      <alignment horizontal="right" vertical="center"/>
    </xf>
    <xf numFmtId="169" fontId="6" fillId="6" borderId="7" xfId="1" applyNumberFormat="1" applyFont="1" applyFill="1" applyBorder="1" applyAlignment="1">
      <alignment horizontal="right" vertical="center"/>
    </xf>
    <xf numFmtId="168" fontId="2" fillId="6" borderId="1" xfId="1" applyNumberFormat="1" applyFont="1" applyFill="1" applyBorder="1" applyAlignment="1">
      <alignment horizontal="right" vertical="center"/>
    </xf>
    <xf numFmtId="168" fontId="2" fillId="0" borderId="13" xfId="1" applyNumberFormat="1" applyFont="1" applyBorder="1" applyAlignment="1">
      <alignment horizontal="right" vertical="center"/>
    </xf>
    <xf numFmtId="168" fontId="6" fillId="0" borderId="7" xfId="1" applyNumberFormat="1" applyFont="1" applyBorder="1" applyAlignment="1">
      <alignment horizontal="right" vertical="center"/>
    </xf>
    <xf numFmtId="168" fontId="6" fillId="0" borderId="1" xfId="1" applyNumberFormat="1" applyFont="1" applyBorder="1" applyAlignment="1">
      <alignment horizontal="right" vertical="center"/>
    </xf>
    <xf numFmtId="168" fontId="6" fillId="6" borderId="1" xfId="1" applyNumberFormat="1" applyFont="1" applyFill="1" applyBorder="1" applyAlignment="1">
      <alignment horizontal="right" vertical="center"/>
    </xf>
    <xf numFmtId="168" fontId="2" fillId="6" borderId="6" xfId="1" applyNumberFormat="1" applyFont="1" applyFill="1" applyBorder="1" applyAlignment="1">
      <alignment horizontal="right" vertical="center"/>
    </xf>
    <xf numFmtId="168" fontId="2" fillId="0" borderId="6" xfId="1" applyNumberFormat="1" applyFont="1" applyBorder="1" applyAlignment="1">
      <alignment horizontal="right" vertical="center"/>
    </xf>
    <xf numFmtId="168" fontId="7" fillId="0" borderId="6" xfId="1" applyNumberFormat="1" applyFont="1" applyBorder="1" applyAlignment="1">
      <alignment horizontal="right" vertical="center"/>
    </xf>
    <xf numFmtId="168" fontId="7" fillId="6" borderId="6" xfId="1" applyNumberFormat="1" applyFont="1" applyFill="1" applyBorder="1" applyAlignment="1">
      <alignment horizontal="right" vertical="center"/>
    </xf>
    <xf numFmtId="168" fontId="7" fillId="6" borderId="11" xfId="1" applyNumberFormat="1" applyFont="1" applyFill="1" applyBorder="1" applyAlignment="1">
      <alignment horizontal="right" vertical="center"/>
    </xf>
    <xf numFmtId="168" fontId="7" fillId="0" borderId="10" xfId="1" applyNumberFormat="1" applyFont="1" applyBorder="1" applyAlignment="1">
      <alignment horizontal="right" vertical="center"/>
    </xf>
    <xf numFmtId="168" fontId="7" fillId="6" borderId="13" xfId="1" applyNumberFormat="1" applyFont="1" applyFill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6" fillId="6" borderId="10" xfId="1" applyNumberFormat="1" applyFont="1" applyFill="1" applyBorder="1" applyAlignment="1">
      <alignment horizontal="right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6" borderId="10" xfId="1" applyNumberFormat="1" applyFont="1" applyFill="1" applyBorder="1" applyAlignment="1">
      <alignment horizontal="center" vertical="center"/>
    </xf>
    <xf numFmtId="165" fontId="10" fillId="4" borderId="7" xfId="1" applyNumberFormat="1" applyFont="1" applyFill="1" applyBorder="1"/>
    <xf numFmtId="0" fontId="10" fillId="4" borderId="2" xfId="0" applyFont="1" applyFill="1" applyBorder="1"/>
    <xf numFmtId="1" fontId="10" fillId="4" borderId="2" xfId="0" applyNumberFormat="1" applyFont="1" applyFill="1" applyBorder="1"/>
    <xf numFmtId="165" fontId="10" fillId="4" borderId="2" xfId="1" applyNumberFormat="1" applyFont="1" applyFill="1" applyBorder="1"/>
    <xf numFmtId="0" fontId="10" fillId="0" borderId="26" xfId="0" applyFont="1" applyBorder="1"/>
    <xf numFmtId="1" fontId="10" fillId="0" borderId="27" xfId="0" applyNumberFormat="1" applyFont="1" applyBorder="1"/>
    <xf numFmtId="165" fontId="10" fillId="0" borderId="27" xfId="1" applyNumberFormat="1" applyFont="1" applyBorder="1"/>
    <xf numFmtId="165" fontId="10" fillId="0" borderId="28" xfId="1" applyNumberFormat="1" applyFont="1" applyBorder="1"/>
    <xf numFmtId="168" fontId="2" fillId="6" borderId="13" xfId="0" applyNumberFormat="1" applyFont="1" applyFill="1" applyBorder="1" applyAlignment="1">
      <alignment horizontal="right" vertical="center" wrapText="1"/>
    </xf>
    <xf numFmtId="168" fontId="6" fillId="6" borderId="1" xfId="0" applyNumberFormat="1" applyFont="1" applyFill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/>
    </xf>
    <xf numFmtId="168" fontId="2" fillId="6" borderId="1" xfId="0" applyNumberFormat="1" applyFont="1" applyFill="1" applyBorder="1" applyAlignment="1">
      <alignment horizontal="right"/>
    </xf>
    <xf numFmtId="168" fontId="2" fillId="0" borderId="13" xfId="0" applyNumberFormat="1" applyFont="1" applyBorder="1" applyAlignment="1">
      <alignment horizontal="right" vertical="center"/>
    </xf>
    <xf numFmtId="168" fontId="6" fillId="0" borderId="7" xfId="0" applyNumberFormat="1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168" fontId="2" fillId="6" borderId="1" xfId="0" applyNumberFormat="1" applyFont="1" applyFill="1" applyBorder="1" applyAlignment="1">
      <alignment horizontal="right" vertical="center"/>
    </xf>
    <xf numFmtId="164" fontId="6" fillId="9" borderId="3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" fontId="11" fillId="0" borderId="0" xfId="0" applyNumberFormat="1" applyFont="1" applyAlignment="1">
      <alignment vertical="center"/>
    </xf>
    <xf numFmtId="0" fontId="0" fillId="6" borderId="1" xfId="0" applyFill="1" applyBorder="1"/>
    <xf numFmtId="165" fontId="6" fillId="0" borderId="1" xfId="1" applyNumberFormat="1" applyFont="1" applyBorder="1" applyAlignment="1">
      <alignment horizontal="center" vertical="center"/>
    </xf>
    <xf numFmtId="166" fontId="6" fillId="6" borderId="1" xfId="1" applyNumberFormat="1" applyFont="1" applyFill="1" applyBorder="1" applyAlignment="1">
      <alignment horizontal="center" vertical="center"/>
    </xf>
    <xf numFmtId="165" fontId="6" fillId="6" borderId="1" xfId="1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/>
    </xf>
    <xf numFmtId="164" fontId="2" fillId="6" borderId="16" xfId="1" applyNumberFormat="1" applyFont="1" applyFill="1" applyBorder="1" applyAlignment="1">
      <alignment horizontal="right" vertical="center"/>
    </xf>
    <xf numFmtId="0" fontId="14" fillId="0" borderId="32" xfId="0" applyFont="1" applyBorder="1"/>
    <xf numFmtId="0" fontId="14" fillId="0" borderId="33" xfId="0" applyFont="1" applyBorder="1" applyAlignment="1">
      <alignment wrapText="1"/>
    </xf>
    <xf numFmtId="0" fontId="14" fillId="0" borderId="34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0" borderId="36" xfId="0" applyFont="1" applyBorder="1" applyAlignment="1">
      <alignment vertical="center"/>
    </xf>
    <xf numFmtId="0" fontId="14" fillId="0" borderId="1" xfId="0" applyFont="1" applyBorder="1"/>
    <xf numFmtId="4" fontId="14" fillId="0" borderId="1" xfId="0" applyNumberFormat="1" applyFont="1" applyBorder="1"/>
    <xf numFmtId="3" fontId="14" fillId="0" borderId="1" xfId="0" applyNumberFormat="1" applyFont="1" applyBorder="1"/>
    <xf numFmtId="0" fontId="14" fillId="0" borderId="1" xfId="0" applyFont="1" applyBorder="1" applyAlignment="1">
      <alignment wrapText="1"/>
    </xf>
    <xf numFmtId="0" fontId="14" fillId="0" borderId="37" xfId="0" applyFont="1" applyBorder="1"/>
    <xf numFmtId="165" fontId="0" fillId="0" borderId="0" xfId="0" applyNumberFormat="1"/>
    <xf numFmtId="165" fontId="0" fillId="0" borderId="0" xfId="1" applyNumberFormat="1" applyFont="1" applyBorder="1"/>
    <xf numFmtId="165" fontId="14" fillId="0" borderId="1" xfId="1" applyNumberFormat="1" applyFont="1" applyBorder="1"/>
    <xf numFmtId="165" fontId="14" fillId="0" borderId="37" xfId="1" applyNumberFormat="1" applyFont="1" applyBorder="1"/>
    <xf numFmtId="0" fontId="16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4" fillId="0" borderId="10" xfId="0" applyFont="1" applyBorder="1" applyAlignment="1">
      <alignment wrapText="1"/>
    </xf>
    <xf numFmtId="165" fontId="14" fillId="0" borderId="40" xfId="1" applyNumberFormat="1" applyFont="1" applyBorder="1"/>
    <xf numFmtId="0" fontId="0" fillId="0" borderId="41" xfId="0" applyBorder="1"/>
    <xf numFmtId="165" fontId="0" fillId="0" borderId="41" xfId="0" applyNumberFormat="1" applyBorder="1"/>
    <xf numFmtId="0" fontId="18" fillId="0" borderId="0" xfId="0" applyFont="1" applyAlignment="1">
      <alignment horizontal="left" vertical="center" indent="1"/>
    </xf>
    <xf numFmtId="0" fontId="0" fillId="2" borderId="0" xfId="0" applyFill="1"/>
    <xf numFmtId="0" fontId="12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">
    <cellStyle name="Normaali" xfId="0" builtinId="0"/>
    <cellStyle name="Pilkku" xfId="1" builtinId="3"/>
  </cellStyles>
  <dxfs count="104"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0.0_ ;[Red]\-0.0\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_ ;[Red]\-0.0\ 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0.0_ ;[Red]\-0.0\ 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0.0_ ;[Red]\-0.0\ 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0.0_ ;[Red]\-0.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0.0_ ;[Red]\-0.0\ 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0.0_ ;[Red]\-0.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_ ;[Red]\-0.0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_ ;[Red]\-0.0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numFmt numFmtId="164" formatCode="0.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_ ;[Red]\-0.0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.0_-;\-* #,##0.0_-;_-* &quot;-&quot;??_-;_-@_-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* #,##0_-;\-* #,##0_-;_-* &quot;-&quot;??_-;_-@_-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#,##0.0_ ;[Red]\-#,##0.0\ 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.0_-;\-* #,##0.0_-;_-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numFmt numFmtId="166" formatCode="_-* #,##0.0_-;\-* #,##0.0_-;_-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.0_-;\-* #,##0.0_-;_-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* #,##0_-;\-* #,##0_-;_-* &quot;-&quot;??_-;_-@_-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numFmt numFmtId="1" formatCode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* #,##0_-;\-* #,##0_-;_-* &quot;-&quot;??_-;_-@_-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_ ;[Red]\-0.0\ 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_ ;[Red]\-0.0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numFmt numFmtId="164" formatCode="0.0"/>
      <alignment horizontal="right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</dxf>
    <dxf>
      <numFmt numFmtId="164" formatCode="0.0"/>
      <alignment horizontal="right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000"/>
      <color rgb="FFFFCCCC"/>
      <color rgb="FFCCFF99"/>
      <color rgb="FFFFFFCC"/>
      <color rgb="FFFFFFFF"/>
      <color rgb="FF009900"/>
      <color rgb="FF000000"/>
      <color rgb="FFEB5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Kuopion kaupungin laatiman</a:t>
            </a:r>
            <a:r>
              <a:rPr lang="fi-FI" baseline="0"/>
              <a:t> väestöennusteen mukainen perusopetuksen oppilasmäärän kehittyminen vuoteen 2035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'Väestöennuste alueittain'!$C$37:$N$37</c:f>
              <c:numCache>
                <c:formatCode>General</c:formatCode>
                <c:ptCount val="1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'Väestöennuste alueittain'!$C$52:$N$52</c:f>
              <c:numCache>
                <c:formatCode>_-* #\ ##0_-;\-* #\ ##0_-;_-* "-"??_-;_-@_-</c:formatCode>
                <c:ptCount val="12"/>
                <c:pt idx="0">
                  <c:v>11080</c:v>
                </c:pt>
                <c:pt idx="1">
                  <c:v>10920</c:v>
                </c:pt>
                <c:pt idx="2">
                  <c:v>10760</c:v>
                </c:pt>
                <c:pt idx="3">
                  <c:v>10670</c:v>
                </c:pt>
                <c:pt idx="4">
                  <c:v>10580</c:v>
                </c:pt>
                <c:pt idx="5">
                  <c:v>10350</c:v>
                </c:pt>
                <c:pt idx="6">
                  <c:v>10150</c:v>
                </c:pt>
                <c:pt idx="7">
                  <c:v>10020</c:v>
                </c:pt>
                <c:pt idx="8">
                  <c:v>9970</c:v>
                </c:pt>
                <c:pt idx="9">
                  <c:v>10030</c:v>
                </c:pt>
                <c:pt idx="10">
                  <c:v>10100</c:v>
                </c:pt>
                <c:pt idx="11">
                  <c:v>10170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D-4D66-9175-2BFA9CEF89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70860495"/>
        <c:axId val="1570861455"/>
      </c:barChart>
      <c:catAx>
        <c:axId val="157086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70861455"/>
        <c:crosses val="autoZero"/>
        <c:auto val="1"/>
        <c:lblAlgn val="ctr"/>
        <c:lblOffset val="100"/>
        <c:noMultiLvlLbl val="0"/>
      </c:catAx>
      <c:valAx>
        <c:axId val="15708614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70860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236220</xdr:colOff>
      <xdr:row>35</xdr:row>
      <xdr:rowOff>0</xdr:rowOff>
    </xdr:from>
    <xdr:to>
      <xdr:col>27</xdr:col>
      <xdr:colOff>243840</xdr:colOff>
      <xdr:row>50</xdr:row>
      <xdr:rowOff>160020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C9DA184-FE95-F9A0-97C5-AB02FA752C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ksanen, Raila" id="{62959024-46CA-4308-8510-26258EBC7922}" userId="S::Raila.Oksanen@fcg.fi::ea0d1852-0c62-47f2-ad13-a2827862b0bf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D1F817B-06EE-4C21-8A6A-F57466DB5156}" name="Taulukko11840" displayName="Taulukko11840" ref="A4:N22" totalsRowShown="0" headerRowDxfId="103" dataDxfId="101" headerRowBorderDxfId="102" tableBorderDxfId="100" totalsRowBorderDxfId="99">
  <autoFilter ref="A4:N22" xr:uid="{4C96D923-0929-4E2F-AFCF-765FAFB5442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5:I20">
    <sortCondition ref="A4:A20"/>
  </sortState>
  <tableColumns count="14">
    <tableColumn id="1" xr3:uid="{E1410B8A-0E14-4171-950C-092285EB5554}" name="Itäinen Kuopio" dataDxfId="98"/>
    <tableColumn id="2" xr3:uid="{D6E45249-9128-4FE9-BF37-C08E5C7B576A}" name="Oppilasmäärä lv.  2024-2025" dataDxfId="97"/>
    <tableColumn id="6" xr3:uid="{794FDD02-AFC4-4302-A8D4-61800EEC072D}" name="Todellinen päätoimisten opettajien määrä" dataDxfId="96">
      <calculatedColumnFormula>Taulukko11840[[#This Row],[Oppilasmäärä lv.  2024-2025]]/$C$3</calculatedColumnFormula>
    </tableColumn>
    <tableColumn id="12" xr3:uid="{5F0E1B93-4904-451D-A2C9-FE799CC16B92}" name="Oppilaita per opettaja" dataDxfId="95">
      <calculatedColumnFormula>Taulukko11840[[#This Row],[Oppilasmäärä lv.  2024-2025]]/Taulukko11840[[#This Row],[Todellinen päätoimisten opettajien määrä]]</calculatedColumnFormula>
    </tableColumn>
    <tableColumn id="3" xr3:uid="{274FAE1C-E69C-4A83-9AF0-DE3487071FB4}" name="Alueen  lapsimäärä lv. 2029-2030" dataDxfId="94"/>
    <tableColumn id="14" xr3:uid="{51C4DDCA-8722-4387-AE62-333B0583868F}" name="Laskennallinen opettajaresurssi 2029-2030" dataDxfId="93">
      <calculatedColumnFormula>Taulukko11840[[#This Row],[Alueen  lapsimäärä lv. 2029-2030]]/$C$3</calculatedColumnFormula>
    </tableColumn>
    <tableColumn id="5" xr3:uid="{73184BA5-8B7D-41FF-97CE-A23CAA6C7912}" name="Muutos vuoteen 2030 mennessä" dataDxfId="92">
      <calculatedColumnFormula>Taulukko11840[[#This Row],[Laskennallinen opettajaresurssi 2029-2030]]-Taulukko11840[[#This Row],[Todellinen päätoimisten opettajien määrä]]</calculatedColumnFormula>
    </tableColumn>
    <tableColumn id="17" xr3:uid="{441648DF-0736-48E5-87D2-963134F94440}" name="Koulun uusi oppilasmäärä" dataDxfId="91"/>
    <tableColumn id="15" xr3:uid="{F0A8381F-8AAF-4AE3-9724-2C0EC7EE48F2}" name="Palveluverkko-muutosten jälkeen laskennalliset opettajat  2029-2030" dataDxfId="90">
      <calculatedColumnFormula>Taulukko11840[[#This Row],[Koulun uusi oppilasmäärä]]/$C$3</calculatedColumnFormula>
    </tableColumn>
    <tableColumn id="7" xr3:uid="{EAFFC1E0-C0A9-4C25-9EA7-7AD4D590669A}" name="Alueen lasten määrä v. 2035" dataDxfId="89"/>
    <tableColumn id="10" xr3:uid="{051ADD6F-F33D-48D6-B88A-73EAAF62FC03}" name="Laskennallisesti opettajia v. 2035" dataDxfId="88">
      <calculatedColumnFormula>Taulukko11840[[#This Row],[Alueen lasten määrä v. 2035]]/$C$3</calculatedColumnFormula>
    </tableColumn>
    <tableColumn id="8" xr3:uid="{37321367-35DD-4727-A87E-5CCF8B6CF792}" name="Muutos vuoteen 2035" dataDxfId="87">
      <calculatedColumnFormula>Taulukko11840[[#This Row],[Laskennallisesti opettajia v. 2035]]-Taulukko11840[[#This Row],[Todellinen päätoimisten opettajien määrä]]</calculatedColumnFormula>
    </tableColumn>
    <tableColumn id="11" xr3:uid="{BECBF0B3-2DBC-4F0E-82AD-8E43FD52EB54}" name="Koulun uusi oppilasmäärä 2035" dataDxfId="86"/>
    <tableColumn id="16" xr3:uid="{73CC4CB6-B386-47D8-915E-133AC40100FC}" name="Palveluverkko-muutosten jälkeen laskennalliset opettajat 2035" dataDxfId="85">
      <calculatedColumnFormula>Taulukko11840[[#This Row],[Koulun uusi oppilasmäärä 2035]]/$C$3</calculatedColumnFormula>
    </tableColumn>
  </tableColumns>
  <tableStyleInfo name="TableStyleLight4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BE40260-1B06-47F7-BAC1-D620CED44CE9}" name="Taulukko131941" displayName="Taulukko131941" ref="A24:N36" totalsRowShown="0" headerRowDxfId="84" dataDxfId="82" headerRowBorderDxfId="83" tableBorderDxfId="81" totalsRowBorderDxfId="80">
  <autoFilter ref="A24:N36" xr:uid="{6EA7E136-7CC1-498B-A64D-0BE6565FA55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25:J33">
    <sortCondition ref="A24:A33"/>
  </sortState>
  <tableColumns count="14">
    <tableColumn id="1" xr3:uid="{428447D7-3891-4178-956A-C400A1B58598}" name="Lounainen Kuopio" dataDxfId="79"/>
    <tableColumn id="2" xr3:uid="{53AB7CCF-5C2C-49C7-8C16-73E58FBF7FE1}" name="Oppilasmäärä lv.  2024-2025" dataDxfId="78"/>
    <tableColumn id="14" xr3:uid="{80CF2A99-60C8-47E4-AF06-EE590F0B7206}" name="Todellinen päätoimisten opettajien määrä" dataDxfId="77">
      <calculatedColumnFormula>Taulukko131941[[#This Row],[Oppilasmäärä lv.  2024-2025]]/$C$3</calculatedColumnFormula>
    </tableColumn>
    <tableColumn id="12" xr3:uid="{2150DCC0-C971-437E-A1F8-E3DF7E83CB29}" name="Oppilaita per opettaja" dataDxfId="76">
      <calculatedColumnFormula>Taulukko131941[[#This Row],[Oppilasmäärä lv.  2024-2025]]/Taulukko131941[[#This Row],[Todellinen päätoimisten opettajien määrä]]</calculatedColumnFormula>
    </tableColumn>
    <tableColumn id="3" xr3:uid="{112DE000-6AFE-46EA-8458-F99BA798B8C4}" name="Alueen  lapsimäärä lv. 2029-2030" dataDxfId="75"/>
    <tableColumn id="15" xr3:uid="{7497F460-0361-4470-AC1F-E55AAEF87F8A}" name="Laskennallinen opettajaresurssi 2029-2030" dataDxfId="74">
      <calculatedColumnFormula>Taulukko131941[[#This Row],[Alueen  lapsimäärä lv. 2029-2030]]/$C$3</calculatedColumnFormula>
    </tableColumn>
    <tableColumn id="5" xr3:uid="{B3D9B1BF-0D06-4DC2-94D4-E0855AEBA59D}" name="Muutos vuoteen 2030 mennessä" dataDxfId="73">
      <calculatedColumnFormula>Taulukko131941[[#This Row],[Laskennallinen opettajaresurssi 2029-2030]]-Taulukko131941[[#This Row],[Todellinen päätoimisten opettajien määrä]]</calculatedColumnFormula>
    </tableColumn>
    <tableColumn id="16" xr3:uid="{DB37AE01-7437-4201-B3F2-154B8B1C4254}" name="Koulun uusi oppilasmäärä"/>
    <tableColumn id="4" xr3:uid="{6D87FE51-51D3-4E4B-B4C2-D3DD6AAA0168}" name="Palveluverkko-muutosten jälkeen laskennalliset opettajat  2029-2030" dataDxfId="72">
      <calculatedColumnFormula>Taulukko131941[[#This Row],[Koulun uusi oppilasmäärä]]/$C$3</calculatedColumnFormula>
    </tableColumn>
    <tableColumn id="6" xr3:uid="{F07481B8-5671-43B0-B559-3F362E17A344}" name="Alueen lasten määrä v. 2035" dataDxfId="71"/>
    <tableColumn id="7" xr3:uid="{5E10DE64-A971-4226-A16C-A2AAB5D4B275}" name="Laskennallisesti opettajia v. 2035" dataDxfId="70">
      <calculatedColumnFormula>Taulukko131941[[#This Row],[Alueen lasten määrä v. 2035]]/$C$3</calculatedColumnFormula>
    </tableColumn>
    <tableColumn id="8" xr3:uid="{C04879B0-48FF-4995-88CB-B3719075D269}" name="Muutos vuoteen 2035" dataDxfId="69">
      <calculatedColumnFormula>Taulukko131941[[#This Row],[Laskennallisesti opettajia v. 2035]]-Taulukko131941[[#This Row],[Todellinen päätoimisten opettajien määrä]]</calculatedColumnFormula>
    </tableColumn>
    <tableColumn id="9" xr3:uid="{4C40844F-0F7D-4E2E-86D5-1DB440D13E58}" name="Koulun uusi oppilasmäärä 2035" dataDxfId="68"/>
    <tableColumn id="10" xr3:uid="{7BE7FFCA-DAF8-4523-9C85-A7157EBA19A2}" name="Palveluverkko-muutosten jälkeen laskennalliset opettajat 2035" dataDxfId="67">
      <calculatedColumnFormula>Taulukko131941[[#This Row],[Koulun uusi oppilasmäärä 2035]]/$C$3</calculatedColumnFormula>
    </tableColumn>
  </tableColumns>
  <tableStyleInfo name="TableStyleLight4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D3AE805-1D88-45A0-B77F-BC46FF670FCB}" name="Taulukko1342042" displayName="Taulukko1342042" ref="A37:N44" totalsRowShown="0" headerRowDxfId="66" dataDxfId="64" headerRowBorderDxfId="65" tableBorderDxfId="63" totalsRowBorderDxfId="62">
  <autoFilter ref="A37:N44" xr:uid="{C7CFBEC2-97D2-4958-BB7C-763526ED462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38:G43">
    <sortCondition ref="A37:A43"/>
  </sortState>
  <tableColumns count="14">
    <tableColumn id="1" xr3:uid="{2F75B89E-840D-4507-BEEB-D862E1EED73B}" name="Luoteinen Kuopio" dataDxfId="61"/>
    <tableColumn id="2" xr3:uid="{235E86C3-7BDC-4224-93DF-9AB177EA7B0A}" name="Oppilasmäärä lv.  2024-2025" dataDxfId="60"/>
    <tableColumn id="3" xr3:uid="{04445121-EDDE-4B39-8B21-BA2D6D816D42}" name="Todellinen päätoimisten opettajien määrä" dataDxfId="59"/>
    <tableColumn id="16" xr3:uid="{E879078A-0011-415C-982F-62AECA8DABB6}" name="Oppilaita per opettaja" dataDxfId="58">
      <calculatedColumnFormula>Taulukko1342042[[#This Row],[Oppilasmäärä lv.  2024-2025]]/Taulukko1342042[[#This Row],[Todellinen päätoimisten opettajien määrä]]</calculatedColumnFormula>
    </tableColumn>
    <tableColumn id="5" xr3:uid="{9AB834EE-4C42-41D1-BD72-C6B1C7229E2B}" name="Alueen  lapsimäärä lv. 2029-2030" dataDxfId="57"/>
    <tableColumn id="4" xr3:uid="{26BF81DF-65E3-4FAF-A46C-B69C014B4687}" name="Laskennallinen opettajaresurssi 2029-2030" dataDxfId="56">
      <calculatedColumnFormula>Taulukko1342042[[#This Row],[Alueen  lapsimäärä lv. 2029-2030]]/$C$3</calculatedColumnFormula>
    </tableColumn>
    <tableColumn id="6" xr3:uid="{A5C3C561-E578-44D9-8D2E-60E829A28E18}" name="Muutos vuoteen 2030 mennessä" dataDxfId="55">
      <calculatedColumnFormula>Taulukko1342042[[#This Row],[Laskennallinen opettajaresurssi 2029-2030]]-Taulukko1342042[[#This Row],[Todellinen päätoimisten opettajien määrä]]</calculatedColumnFormula>
    </tableColumn>
    <tableColumn id="7" xr3:uid="{046DDB4A-48FD-4EC6-8258-11C78F8E21C9}" name="Koulun uusi oppilasmäärä" dataDxfId="54"/>
    <tableColumn id="8" xr3:uid="{DE2426D1-471B-4CFF-A073-E9C626E18178}" name="Palveluverkko-muutosten jälkeen laskennalliset opettajat  2029-2030" dataDxfId="53">
      <calculatedColumnFormula>Taulukko1342042[[#This Row],[Koulun uusi oppilasmäärä]]/$C$3</calculatedColumnFormula>
    </tableColumn>
    <tableColumn id="9" xr3:uid="{513934D1-7C95-402D-BB06-ACD5B11CA163}" name="Alueen lasten määrä v. 2035" dataDxfId="52"/>
    <tableColumn id="10" xr3:uid="{D8B71AC7-CA51-4173-AE66-43564BFC8D50}" name="Laskennallisesti opettajia v. 2035" dataDxfId="51">
      <calculatedColumnFormula>Taulukko1342042[[#This Row],[Alueen lasten määrä v. 2035]]/$C$3</calculatedColumnFormula>
    </tableColumn>
    <tableColumn id="11" xr3:uid="{6E450052-8179-42D1-810D-6FE4C9771DD3}" name="Muutos vuoteen 2035" dataDxfId="50">
      <calculatedColumnFormula>Taulukko1342042[[#This Row],[Laskennallisesti opettajia v. 2035]]-Taulukko1342042[[#This Row],[Todellinen päätoimisten opettajien määrä]]</calculatedColumnFormula>
    </tableColumn>
    <tableColumn id="12" xr3:uid="{14FA536D-D2EB-46E3-8CDE-65A1843A3BCB}" name="Koulun uusi oppilasmäärä 2035" dataDxfId="49"/>
    <tableColumn id="13" xr3:uid="{C3796001-04FE-4528-A226-EE2E9F9A9949}" name="Palveluverkko-muutosten jälkeen laskennalliset opettajat 2035" dataDxfId="48">
      <calculatedColumnFormula>Taulukko1342042[[#This Row],[Koulun uusi oppilasmäärä 2035]]/$C$3</calculatedColumnFormula>
    </tableColumn>
  </tableColumns>
  <tableStyleInfo name="TableStyleLight4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AA5A165-0AF0-44FE-AE6C-6CFF861CCDD6}" name="Taulukko152143" displayName="Taulukko152143" ref="A47:I59" totalsRowShown="0" headerRowDxfId="47" dataDxfId="45" headerRowBorderDxfId="46" tableBorderDxfId="44" totalsRowBorderDxfId="43">
  <autoFilter ref="A47:I59" xr:uid="{606759D9-4130-4C01-AFB1-60B220ED4C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A48:G58">
    <sortCondition ref="A47:A58"/>
  </sortState>
  <tableColumns count="9">
    <tableColumn id="1" xr3:uid="{6F58B904-9E6A-43B9-9DC0-1F81D35CE800}" name="Eteläiset kaupunkialueet" dataDxfId="42"/>
    <tableColumn id="2" xr3:uid="{816A2A11-041F-4CEF-A7F8-73ABC249F973}" name="Oppilasmäärä lv.  2024-2025" dataDxfId="41"/>
    <tableColumn id="3" xr3:uid="{55F0CED2-81BA-43D7-97FD-717288AE0EB0}" name="Todellinen päätoimisten opettajien määrä" dataDxfId="40">
      <calculatedColumnFormula>Taulukko152143[[#This Row],[Oppilasmäärä lv.  2024-2025]]/$C$3</calculatedColumnFormula>
    </tableColumn>
    <tableColumn id="10" xr3:uid="{330EE5F5-67BD-4C28-A9C3-1DC89EF2639D}" name="Oppilaita per opettaja" dataDxfId="39">
      <calculatedColumnFormula>Taulukko152143[[#This Row],[Oppilasmäärä lv.  2024-2025]]/Taulukko152143[[#This Row],[Todellinen päätoimisten opettajien määrä]]</calculatedColumnFormula>
    </tableColumn>
    <tableColumn id="5" xr3:uid="{347138DB-6713-4268-9258-4687C47F6D54}" name="Alueen  lapsimäärä lv. 2029-2030" dataDxfId="38"/>
    <tableColumn id="4" xr3:uid="{F716A454-54DE-4D97-9F9A-E3F216DBBCA4}" name="Laskennallinen opettajaresurssi 2029-2030" dataDxfId="37">
      <calculatedColumnFormula>Taulukko152143[[#This Row],[Alueen  lapsimäärä lv. 2029-2030]]/$C$3</calculatedColumnFormula>
    </tableColumn>
    <tableColumn id="6" xr3:uid="{E8D7FCC3-D43B-4550-8BCE-2DF2C6E222D8}" name="Muutos vuoteen 2030 mennessä" dataDxfId="36">
      <calculatedColumnFormula>Taulukko152143[[#This Row],[Laskennallinen opettajaresurssi 2029-2030]]-Taulukko152143[[#This Row],[Todellinen päätoimisten opettajien määrä]]</calculatedColumnFormula>
    </tableColumn>
    <tableColumn id="7" xr3:uid="{AA524179-0369-4AB7-975E-1B4F761021C7}" name="Koulun uusi oppilasmäärä" dataDxfId="35"/>
    <tableColumn id="8" xr3:uid="{A3936638-E1A9-4FEE-98ED-D5A146357038}" name="Palveluverkko-muutosten jälkeen laskennalliset opettajat  2029-2030" dataDxfId="34">
      <calculatedColumnFormula>Taulukko152143[[#This Row],[Koulun uusi oppilasmäärä]]/$C$3</calculatedColumnFormula>
    </tableColumn>
  </tableColumns>
  <tableStyleInfo name="TableStyleLight4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1847D9C-8455-4B71-9631-90DBF41F7B27}" name="Taulukko1562244" displayName="Taulukko1562244" ref="A62:N81" totalsRowShown="0" headerRowDxfId="33" dataDxfId="31" headerRowBorderDxfId="32" tableBorderDxfId="30" totalsRowBorderDxfId="29">
  <autoFilter ref="A62:N81" xr:uid="{F13AD550-3EDD-4CF5-B484-D92A2D82D0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3:G80">
    <sortCondition ref="A62:A80"/>
  </sortState>
  <tableColumns count="14">
    <tableColumn id="1" xr3:uid="{5D863095-8D34-4DAF-BB96-76C89E6A5C70}" name="Kantakaupunki" dataDxfId="28"/>
    <tableColumn id="2" xr3:uid="{DC1E6D63-F407-400C-8489-2EC1C7C7C71C}" name="Oppilasmäärä lv.  2024-2025" dataDxfId="27"/>
    <tableColumn id="3" xr3:uid="{3C90ABB7-554C-42CA-AE76-60E657718E1A}" name="Todellinen päätoimisten opettajien määrä" dataDxfId="26">
      <calculatedColumnFormula>Taulukko1562244[[#This Row],[Oppilasmäärä lv.  2024-2025]]/$C$3</calculatedColumnFormula>
    </tableColumn>
    <tableColumn id="15" xr3:uid="{7469291D-0198-410D-90F4-23A7F16F1D3D}" name="Oppilaita per opettaja" dataDxfId="25">
      <calculatedColumnFormula>Taulukko1562244[[#This Row],[Oppilasmäärä lv.  2024-2025]]/Taulukko1562244[[#This Row],[Todellinen päätoimisten opettajien määrä]]</calculatedColumnFormula>
    </tableColumn>
    <tableColumn id="5" xr3:uid="{9D461DE4-22DC-4AE7-80E5-940CAF18B1B4}" name="Alueen  lapsimäärä lv. 2029-2030" dataDxfId="24"/>
    <tableColumn id="4" xr3:uid="{54DC9465-C227-435B-B8E8-F4B55428777F}" name="Laskennallinen opettajaresurssi 2029-2030" dataDxfId="23">
      <calculatedColumnFormula>Taulukko1562244[[#This Row],[Alueen  lapsimäärä lv. 2029-2030]]/$C$3</calculatedColumnFormula>
    </tableColumn>
    <tableColumn id="6" xr3:uid="{0204E267-F442-46DF-8FC4-E9161A432769}" name="Muutos vuoteen 2030 mennessä" dataDxfId="22">
      <calculatedColumnFormula>Taulukko1562244[[#This Row],[Laskennallinen opettajaresurssi 2029-2030]]-Taulukko1562244[[#This Row],[Todellinen päätoimisten opettajien määrä]]</calculatedColumnFormula>
    </tableColumn>
    <tableColumn id="7" xr3:uid="{462E4037-A040-438A-9387-793204DB771C}" name="Koulun uusi oppilasmäärä" dataDxfId="21">
      <calculatedColumnFormula>Taulukko1562244[[#This Row],[Alueen  lapsimäärä lv. 2029-2030]]-150</calculatedColumnFormula>
    </tableColumn>
    <tableColumn id="8" xr3:uid="{F661C35C-8E45-4DE5-BA1D-411FD0597F56}" name="Palveluverkko-muutosten jälkeen laskennalliset opettajat  2029-2030" dataDxfId="20">
      <calculatedColumnFormula>Taulukko1562244[[#This Row],[Koulun uusi oppilasmäärä]]/$C$3</calculatedColumnFormula>
    </tableColumn>
    <tableColumn id="9" xr3:uid="{D392C43F-87CF-4312-B0BB-CAFD2F1696E5}" name="Alueen lasten määrä v. 2035" dataDxfId="19"/>
    <tableColumn id="10" xr3:uid="{76A2EA1B-4B4C-4678-902E-7F35E6A6283A}" name="Laskennallisesti opettajia v. 2035" dataDxfId="18">
      <calculatedColumnFormula>Taulukko1562244[[#This Row],[Alueen lasten määrä v. 2035]]/$C$3</calculatedColumnFormula>
    </tableColumn>
    <tableColumn id="11" xr3:uid="{376D9092-2D4F-4D72-889A-DE8F78595017}" name="Muutos vuoteen 2035" dataDxfId="17">
      <calculatedColumnFormula>Taulukko1562244[[#This Row],[Laskennallisesti opettajia v. 2035]]-Taulukko1562244[[#This Row],[Todellinen päätoimisten opettajien määrä]]</calculatedColumnFormula>
    </tableColumn>
    <tableColumn id="12" xr3:uid="{9C400B21-F474-4311-977F-A512337FB285}" name="Koulun uusi oppilasmäärä 2035" dataDxfId="16"/>
    <tableColumn id="13" xr3:uid="{E041EB3A-BF37-4EFE-AB19-14CA8267A20E}" name="Palveluverkko-muutosten jälkeen laskennalliset opettajat 2035" dataDxfId="15"/>
  </tableColumns>
  <tableStyleInfo name="TableStyleLight4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01BAFA7-4D92-44DC-9445-E4863F0DF8FA}" name="Taulukko2245" displayName="Taulukko2245" ref="A85:J103" headerRowDxfId="14" dataDxfId="12" totalsRowDxfId="10" headerRowBorderDxfId="13" tableBorderDxfId="11">
  <autoFilter ref="A85:J103" xr:uid="{EF9902FE-7425-4441-8E3B-89C6A598885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5A0852D-68FD-4EA3-B3D0-F38E54E84C3F}" name="Alue" totalsRowLabel="Summa" dataDxfId="9"/>
    <tableColumn id="2" xr3:uid="{1AEC5DA4-44DB-443E-8361-5D1CBE711D89}" name="Oppilasmäärä lv.  2024-2025" dataDxfId="8"/>
    <tableColumn id="3" xr3:uid="{47958E17-EF43-4B79-B7F4-24638DB8AA48}" name="Todellinen päätoimisten opettajien määrä" dataDxfId="7"/>
    <tableColumn id="16" xr3:uid="{2E4ABC28-A724-40CA-A4EE-BA1D98CCF88C}" name="Oppilaita per opettaja" dataDxfId="6">
      <calculatedColumnFormula>Taulukko2245[[#This Row],[Oppilasmäärä lv.  2024-2025]]/Taulukko2245[[#This Row],[Todellinen päätoimisten opettajien määrä]]</calculatedColumnFormula>
    </tableColumn>
    <tableColumn id="4" xr3:uid="{0E3D2A4D-34E6-4D19-AE7B-70ACDD55C0D9}" name="Alueen  lapsimäärä lv. 2029-2030" dataDxfId="5">
      <calculatedColumnFormula>E20</calculatedColumnFormula>
    </tableColumn>
    <tableColumn id="5" xr3:uid="{FC0716A9-C688-4555-A380-65174278C31B}" name="Laskennallinen opettajaresurssi 2029-2030" dataDxfId="4">
      <calculatedColumnFormula>F20</calculatedColumnFormula>
    </tableColumn>
    <tableColumn id="6" xr3:uid="{AFA6DBDA-D09C-41DB-B6A8-9E9E41DA1A64}" name="Muutos vuoteen 2030 mennessä" dataDxfId="3">
      <calculatedColumnFormula>Taulukko2245[[#This Row],[Laskennallinen opettajaresurssi 2029-2030]]-Taulukko2245[[#This Row],[Todellinen päätoimisten opettajien määrä]]</calculatedColumnFormula>
    </tableColumn>
    <tableColumn id="7" xr3:uid="{CD66653A-E86E-41B3-8578-FBD8061F6DBA}" name="Alueen lapsimäärä v. 2035" totalsRowFunction="sum" dataDxfId="2">
      <calculatedColumnFormula>J20</calculatedColumnFormula>
    </tableColumn>
    <tableColumn id="8" xr3:uid="{A43CB0B5-A1E6-4520-A1B6-A6E299F774EF}" name="Laskennallisesti opettajia 2035" dataDxfId="1"/>
    <tableColumn id="9" xr3:uid="{23F022EA-E675-4B26-AC4A-7E3882AF79EB}" name="Muutos vuoteen 2035 mennessä" dataDxfId="0"/>
  </tableColumns>
  <tableStyleInfo name="TableStyleMedium3" showFirstColumn="0" showLastColumn="0" showRowStripes="0" showColumnStripes="0"/>
</table>
</file>

<file path=xl/theme/theme1.xml><?xml version="1.0" encoding="utf-8"?>
<a:theme xmlns:a="http://schemas.openxmlformats.org/drawingml/2006/main" name="FCG-teemavarit">
  <a:themeElements>
    <a:clrScheme name="FCG uudet teemavarit">
      <a:dk1>
        <a:srgbClr val="000000"/>
      </a:dk1>
      <a:lt1>
        <a:srgbClr val="FFFFFF"/>
      </a:lt1>
      <a:dk2>
        <a:srgbClr val="0F5064"/>
      </a:dk2>
      <a:lt2>
        <a:srgbClr val="E7E6E6"/>
      </a:lt2>
      <a:accent1>
        <a:srgbClr val="0F5064"/>
      </a:accent1>
      <a:accent2>
        <a:srgbClr val="133F6E"/>
      </a:accent2>
      <a:accent3>
        <a:srgbClr val="EB5C18"/>
      </a:accent3>
      <a:accent4>
        <a:srgbClr val="4F8791"/>
      </a:accent4>
      <a:accent5>
        <a:srgbClr val="EFCCB8"/>
      </a:accent5>
      <a:accent6>
        <a:srgbClr val="B4D2DC"/>
      </a:accent6>
      <a:hlink>
        <a:srgbClr val="E95D0F"/>
      </a:hlink>
      <a:folHlink>
        <a:srgbClr val="0F506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1" dT="2025-03-24T15:16:20.63" personId="{62959024-46CA-4308-8510-26258EBC7922}" id="{C1497FDD-9099-4A45-BDBE-D1635B322089}">
    <text>Lisätty Pyörön koulusta 61 oppilasta</text>
  </threadedComment>
  <threadedComment ref="H57" dT="2025-03-24T15:17:12.73" personId="{62959024-46CA-4308-8510-26258EBC7922}" id="{A51F506B-76DA-4AE0-A12E-8D3E86E3F5B8}">
    <text>Vähennetty 61 oppilasta ja siirretty Jynkänlahden kouluun ja laskettu 150 oppilasta hiltulanlahtelaisia Neulasmäestä</text>
  </threadedComment>
  <threadedComment ref="H65" dT="2025-03-24T15:28:39.64" personId="{62959024-46CA-4308-8510-26258EBC7922}" id="{3076E37A-35A5-4C35-80B3-36B9CA671F08}">
    <text>Hatsala toteutetaan puolikkaana</text>
  </threadedComment>
  <threadedComment ref="H72" dT="2025-03-24T15:29:01.23" personId="{62959024-46CA-4308-8510-26258EBC7922}" id="{42C7855B-0343-4EBF-ACD5-3FF242E3F3C5}">
    <text>150 laskettu Pyöröön</text>
  </threadedComment>
  <threadedComment ref="H76" dT="2025-03-24T15:28:12.13" personId="{62959024-46CA-4308-8510-26258EBC7922}" id="{872DBFB0-4FBE-491F-99AF-E74544FA1C4C}">
    <text>20 laskettu Siilinjärvelle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microsoft.com/office/2017/10/relationships/threadedComment" Target="../threadedComments/threadedComment1.xml"/><Relationship Id="rId4" Type="http://schemas.openxmlformats.org/officeDocument/2006/relationships/table" Target="../tables/table2.x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50AE-4CCE-4F8D-AA06-8EA24C22E4A1}">
  <dimension ref="A1:N54"/>
  <sheetViews>
    <sheetView workbookViewId="0">
      <selection activeCell="W56" sqref="W56"/>
    </sheetView>
  </sheetViews>
  <sheetFormatPr defaultRowHeight="15" x14ac:dyDescent="0.25"/>
  <cols>
    <col min="1" max="1" width="36.7109375" customWidth="1"/>
    <col min="2" max="2" width="10.85546875" hidden="1" customWidth="1"/>
    <col min="3" max="14" width="9.5703125" customWidth="1"/>
  </cols>
  <sheetData>
    <row r="1" spans="1:14" ht="18.75" x14ac:dyDescent="0.3">
      <c r="A1" s="217" t="s">
        <v>14</v>
      </c>
      <c r="B1" s="217">
        <v>2023</v>
      </c>
      <c r="C1" s="217">
        <v>2024</v>
      </c>
      <c r="D1" s="217">
        <v>2025</v>
      </c>
      <c r="E1" s="217">
        <v>2026</v>
      </c>
      <c r="F1" s="217">
        <v>2027</v>
      </c>
      <c r="G1" s="217">
        <v>2028</v>
      </c>
      <c r="H1" s="217">
        <v>2029</v>
      </c>
      <c r="I1" s="217">
        <v>2030</v>
      </c>
      <c r="J1" s="217">
        <v>2031</v>
      </c>
      <c r="K1" s="217">
        <v>2032</v>
      </c>
      <c r="L1" s="217">
        <v>2033</v>
      </c>
      <c r="M1" s="217">
        <v>2034</v>
      </c>
      <c r="N1" s="217">
        <v>2035</v>
      </c>
    </row>
    <row r="2" spans="1:14" ht="18.75" x14ac:dyDescent="0.3">
      <c r="A2" s="218" t="s">
        <v>15</v>
      </c>
      <c r="B2" s="219">
        <v>560</v>
      </c>
      <c r="C2" s="219">
        <v>520</v>
      </c>
      <c r="D2" s="219">
        <v>510</v>
      </c>
      <c r="E2" s="219">
        <v>480</v>
      </c>
      <c r="F2" s="219">
        <v>460</v>
      </c>
      <c r="G2" s="219">
        <v>440</v>
      </c>
      <c r="H2" s="219">
        <v>430</v>
      </c>
      <c r="I2" s="219">
        <v>410</v>
      </c>
      <c r="J2" s="219">
        <v>400</v>
      </c>
      <c r="K2" s="219">
        <v>390</v>
      </c>
      <c r="L2" s="219">
        <v>390</v>
      </c>
      <c r="M2" s="219">
        <v>390</v>
      </c>
      <c r="N2" s="219">
        <v>390</v>
      </c>
    </row>
    <row r="3" spans="1:14" ht="18.75" x14ac:dyDescent="0.3">
      <c r="A3" s="218" t="s">
        <v>16</v>
      </c>
      <c r="B3" s="219">
        <v>310</v>
      </c>
      <c r="C3" s="219">
        <v>320</v>
      </c>
      <c r="D3" s="219">
        <v>300</v>
      </c>
      <c r="E3" s="219">
        <v>300</v>
      </c>
      <c r="F3" s="219">
        <v>290</v>
      </c>
      <c r="G3" s="219">
        <v>280</v>
      </c>
      <c r="H3" s="219">
        <v>280</v>
      </c>
      <c r="I3" s="219">
        <v>280</v>
      </c>
      <c r="J3" s="219">
        <v>290</v>
      </c>
      <c r="K3" s="219">
        <v>300</v>
      </c>
      <c r="L3" s="219">
        <v>310</v>
      </c>
      <c r="M3" s="219">
        <v>310</v>
      </c>
      <c r="N3" s="219">
        <v>320</v>
      </c>
    </row>
    <row r="4" spans="1:14" ht="18.75" x14ac:dyDescent="0.3">
      <c r="A4" s="218" t="s">
        <v>17</v>
      </c>
      <c r="B4" s="219">
        <v>350</v>
      </c>
      <c r="C4" s="219">
        <v>370</v>
      </c>
      <c r="D4" s="219">
        <v>410</v>
      </c>
      <c r="E4" s="219">
        <v>420</v>
      </c>
      <c r="F4" s="219">
        <v>450</v>
      </c>
      <c r="G4" s="219">
        <v>480</v>
      </c>
      <c r="H4" s="219">
        <v>490</v>
      </c>
      <c r="I4" s="219">
        <v>520</v>
      </c>
      <c r="J4" s="219">
        <v>530</v>
      </c>
      <c r="K4" s="219">
        <v>540</v>
      </c>
      <c r="L4" s="219">
        <v>530</v>
      </c>
      <c r="M4" s="219">
        <v>510</v>
      </c>
      <c r="N4" s="219">
        <v>520</v>
      </c>
    </row>
    <row r="5" spans="1:14" ht="18.75" x14ac:dyDescent="0.3">
      <c r="A5" s="218" t="s">
        <v>18</v>
      </c>
      <c r="B5" s="219">
        <v>130</v>
      </c>
      <c r="C5" s="219">
        <v>130</v>
      </c>
      <c r="D5" s="219">
        <v>110</v>
      </c>
      <c r="E5" s="219">
        <v>110</v>
      </c>
      <c r="F5" s="219">
        <v>100</v>
      </c>
      <c r="G5" s="219">
        <v>100</v>
      </c>
      <c r="H5" s="219">
        <v>90</v>
      </c>
      <c r="I5" s="219">
        <v>80</v>
      </c>
      <c r="J5" s="219">
        <v>90</v>
      </c>
      <c r="K5" s="219">
        <v>80</v>
      </c>
      <c r="L5" s="219">
        <v>90</v>
      </c>
      <c r="M5" s="219">
        <v>80</v>
      </c>
      <c r="N5" s="219">
        <v>90</v>
      </c>
    </row>
    <row r="6" spans="1:14" ht="18.75" x14ac:dyDescent="0.3">
      <c r="A6" s="218" t="s">
        <v>19</v>
      </c>
      <c r="B6" s="219">
        <v>380</v>
      </c>
      <c r="C6" s="219">
        <v>360</v>
      </c>
      <c r="D6" s="219">
        <v>350</v>
      </c>
      <c r="E6" s="219">
        <v>340</v>
      </c>
      <c r="F6" s="219">
        <v>350</v>
      </c>
      <c r="G6" s="219">
        <v>340</v>
      </c>
      <c r="H6" s="219">
        <v>340</v>
      </c>
      <c r="I6" s="219">
        <v>350</v>
      </c>
      <c r="J6" s="219">
        <v>360</v>
      </c>
      <c r="K6" s="219">
        <v>370</v>
      </c>
      <c r="L6" s="219">
        <v>370</v>
      </c>
      <c r="M6" s="219">
        <v>370</v>
      </c>
      <c r="N6" s="219">
        <v>380</v>
      </c>
    </row>
    <row r="7" spans="1:14" ht="18.75" x14ac:dyDescent="0.3">
      <c r="A7" s="218" t="s">
        <v>111</v>
      </c>
      <c r="B7" s="219">
        <v>20</v>
      </c>
      <c r="C7" s="219">
        <v>20</v>
      </c>
      <c r="D7" s="219">
        <v>20</v>
      </c>
      <c r="E7" s="219">
        <v>20</v>
      </c>
      <c r="F7" s="219">
        <v>20</v>
      </c>
      <c r="G7" s="219">
        <v>20</v>
      </c>
      <c r="H7" s="219">
        <v>20</v>
      </c>
      <c r="I7" s="219">
        <v>20</v>
      </c>
      <c r="J7" s="219">
        <v>10</v>
      </c>
      <c r="K7" s="219">
        <v>10</v>
      </c>
      <c r="L7" s="219">
        <v>20</v>
      </c>
      <c r="M7" s="219">
        <v>20</v>
      </c>
      <c r="N7" s="219">
        <v>20</v>
      </c>
    </row>
    <row r="8" spans="1:14" ht="18.75" x14ac:dyDescent="0.3">
      <c r="A8" s="218" t="s">
        <v>20</v>
      </c>
      <c r="B8" s="219">
        <v>350</v>
      </c>
      <c r="C8" s="219">
        <v>350</v>
      </c>
      <c r="D8" s="219">
        <v>340</v>
      </c>
      <c r="E8" s="219">
        <v>350</v>
      </c>
      <c r="F8" s="219">
        <v>350</v>
      </c>
      <c r="G8" s="219">
        <v>340</v>
      </c>
      <c r="H8" s="219">
        <v>330</v>
      </c>
      <c r="I8" s="219">
        <v>330</v>
      </c>
      <c r="J8" s="219">
        <v>340</v>
      </c>
      <c r="K8" s="219">
        <v>350</v>
      </c>
      <c r="L8" s="219">
        <v>350</v>
      </c>
      <c r="M8" s="219">
        <v>360</v>
      </c>
      <c r="N8" s="219">
        <v>370</v>
      </c>
    </row>
    <row r="9" spans="1:14" ht="18.75" x14ac:dyDescent="0.3">
      <c r="A9" s="218" t="s">
        <v>112</v>
      </c>
      <c r="B9" s="219">
        <v>90</v>
      </c>
      <c r="C9" s="219">
        <v>90</v>
      </c>
      <c r="D9" s="219">
        <v>80</v>
      </c>
      <c r="E9" s="219">
        <v>80</v>
      </c>
      <c r="F9" s="219">
        <v>70</v>
      </c>
      <c r="G9" s="219">
        <v>80</v>
      </c>
      <c r="H9" s="219">
        <v>70</v>
      </c>
      <c r="I9" s="219">
        <v>70</v>
      </c>
      <c r="J9" s="219">
        <v>70</v>
      </c>
      <c r="K9" s="219">
        <v>70</v>
      </c>
      <c r="L9" s="219">
        <v>70</v>
      </c>
      <c r="M9" s="219">
        <v>70</v>
      </c>
      <c r="N9" s="219">
        <v>70</v>
      </c>
    </row>
    <row r="10" spans="1:14" ht="18.75" x14ac:dyDescent="0.3">
      <c r="A10" s="218" t="s">
        <v>21</v>
      </c>
      <c r="B10" s="219">
        <v>350</v>
      </c>
      <c r="C10" s="219">
        <v>340</v>
      </c>
      <c r="D10" s="219">
        <v>330</v>
      </c>
      <c r="E10" s="219">
        <v>310</v>
      </c>
      <c r="F10" s="219">
        <v>300</v>
      </c>
      <c r="G10" s="219">
        <v>290</v>
      </c>
      <c r="H10" s="219">
        <v>290</v>
      </c>
      <c r="I10" s="219">
        <v>280</v>
      </c>
      <c r="J10" s="219">
        <v>280</v>
      </c>
      <c r="K10" s="219">
        <v>280</v>
      </c>
      <c r="L10" s="219">
        <v>290</v>
      </c>
      <c r="M10" s="219">
        <v>290</v>
      </c>
      <c r="N10" s="219">
        <v>290</v>
      </c>
    </row>
    <row r="11" spans="1:14" ht="18.75" x14ac:dyDescent="0.3">
      <c r="A11" s="218" t="s">
        <v>22</v>
      </c>
      <c r="B11" s="219">
        <v>130</v>
      </c>
      <c r="C11" s="219">
        <v>130</v>
      </c>
      <c r="D11" s="219">
        <v>130</v>
      </c>
      <c r="E11" s="219">
        <v>130</v>
      </c>
      <c r="F11" s="219">
        <v>130</v>
      </c>
      <c r="G11" s="219">
        <v>130</v>
      </c>
      <c r="H11" s="219">
        <v>130</v>
      </c>
      <c r="I11" s="219">
        <v>130</v>
      </c>
      <c r="J11" s="219">
        <v>130</v>
      </c>
      <c r="K11" s="219">
        <v>130</v>
      </c>
      <c r="L11" s="219">
        <v>130</v>
      </c>
      <c r="M11" s="219">
        <v>130</v>
      </c>
      <c r="N11" s="219">
        <v>130</v>
      </c>
    </row>
    <row r="12" spans="1:14" ht="18.75" x14ac:dyDescent="0.3">
      <c r="A12" s="218" t="s">
        <v>23</v>
      </c>
      <c r="B12" s="219">
        <v>70</v>
      </c>
      <c r="C12" s="219">
        <v>70</v>
      </c>
      <c r="D12" s="219">
        <v>70</v>
      </c>
      <c r="E12" s="219">
        <v>70</v>
      </c>
      <c r="F12" s="219">
        <v>70</v>
      </c>
      <c r="G12" s="219">
        <v>70</v>
      </c>
      <c r="H12" s="219">
        <v>60</v>
      </c>
      <c r="I12" s="219">
        <v>60</v>
      </c>
      <c r="J12" s="219">
        <v>60</v>
      </c>
      <c r="K12" s="219">
        <v>60</v>
      </c>
      <c r="L12" s="219">
        <v>60</v>
      </c>
      <c r="M12" s="219">
        <v>60</v>
      </c>
      <c r="N12" s="219">
        <v>60</v>
      </c>
    </row>
    <row r="13" spans="1:14" ht="18.75" x14ac:dyDescent="0.3">
      <c r="A13" s="218" t="s">
        <v>24</v>
      </c>
      <c r="B13" s="219">
        <v>310</v>
      </c>
      <c r="C13" s="219">
        <v>310</v>
      </c>
      <c r="D13" s="219">
        <v>290</v>
      </c>
      <c r="E13" s="219">
        <v>270</v>
      </c>
      <c r="F13" s="219">
        <v>270</v>
      </c>
      <c r="G13" s="219">
        <v>260</v>
      </c>
      <c r="H13" s="219">
        <v>250</v>
      </c>
      <c r="I13" s="219">
        <v>240</v>
      </c>
      <c r="J13" s="219">
        <v>250</v>
      </c>
      <c r="K13" s="219">
        <v>250</v>
      </c>
      <c r="L13" s="219">
        <v>240</v>
      </c>
      <c r="M13" s="219">
        <v>250</v>
      </c>
      <c r="N13" s="219">
        <v>250</v>
      </c>
    </row>
    <row r="14" spans="1:14" ht="18.75" x14ac:dyDescent="0.3">
      <c r="A14" s="218" t="s">
        <v>25</v>
      </c>
      <c r="B14" s="219">
        <v>130</v>
      </c>
      <c r="C14" s="219">
        <v>130</v>
      </c>
      <c r="D14" s="219">
        <v>120</v>
      </c>
      <c r="E14" s="219">
        <v>120</v>
      </c>
      <c r="F14" s="219">
        <v>120</v>
      </c>
      <c r="G14" s="219">
        <v>120</v>
      </c>
      <c r="H14" s="219">
        <v>110</v>
      </c>
      <c r="I14" s="219">
        <v>100</v>
      </c>
      <c r="J14" s="219">
        <v>100</v>
      </c>
      <c r="K14" s="219">
        <v>100</v>
      </c>
      <c r="L14" s="219">
        <v>100</v>
      </c>
      <c r="M14" s="219">
        <v>100</v>
      </c>
      <c r="N14" s="219">
        <v>100</v>
      </c>
    </row>
    <row r="15" spans="1:14" ht="18.75" x14ac:dyDescent="0.3">
      <c r="A15" s="218" t="s">
        <v>26</v>
      </c>
      <c r="B15" s="219">
        <v>450</v>
      </c>
      <c r="C15" s="219">
        <v>450</v>
      </c>
      <c r="D15" s="219">
        <v>450</v>
      </c>
      <c r="E15" s="219">
        <v>440</v>
      </c>
      <c r="F15" s="219">
        <v>430</v>
      </c>
      <c r="G15" s="219">
        <v>430</v>
      </c>
      <c r="H15" s="219">
        <v>430</v>
      </c>
      <c r="I15" s="219">
        <v>430</v>
      </c>
      <c r="J15" s="219">
        <v>440</v>
      </c>
      <c r="K15" s="219">
        <v>450</v>
      </c>
      <c r="L15" s="219">
        <v>450</v>
      </c>
      <c r="M15" s="219">
        <v>450</v>
      </c>
      <c r="N15" s="219">
        <v>450</v>
      </c>
    </row>
    <row r="16" spans="1:14" ht="18.75" x14ac:dyDescent="0.3">
      <c r="A16" s="218" t="s">
        <v>27</v>
      </c>
      <c r="B16" s="219">
        <v>50</v>
      </c>
      <c r="C16" s="219">
        <v>50</v>
      </c>
      <c r="D16" s="219">
        <v>50</v>
      </c>
      <c r="E16" s="219">
        <v>50</v>
      </c>
      <c r="F16" s="219">
        <v>50</v>
      </c>
      <c r="G16" s="219">
        <v>40</v>
      </c>
      <c r="H16" s="219">
        <v>40</v>
      </c>
      <c r="I16" s="219">
        <v>40</v>
      </c>
      <c r="J16" s="219">
        <v>40</v>
      </c>
      <c r="K16" s="219">
        <v>30</v>
      </c>
      <c r="L16" s="219">
        <v>40</v>
      </c>
      <c r="M16" s="219">
        <v>40</v>
      </c>
      <c r="N16" s="219">
        <v>40</v>
      </c>
    </row>
    <row r="17" spans="1:14" ht="18.75" x14ac:dyDescent="0.3">
      <c r="A17" s="218" t="s">
        <v>28</v>
      </c>
      <c r="B17" s="219">
        <v>240</v>
      </c>
      <c r="C17" s="219">
        <v>270</v>
      </c>
      <c r="D17" s="219">
        <v>270</v>
      </c>
      <c r="E17" s="219">
        <v>280</v>
      </c>
      <c r="F17" s="219">
        <v>290</v>
      </c>
      <c r="G17" s="219">
        <v>320</v>
      </c>
      <c r="H17" s="219">
        <v>330</v>
      </c>
      <c r="I17" s="219">
        <v>350</v>
      </c>
      <c r="J17" s="219">
        <v>370</v>
      </c>
      <c r="K17" s="219">
        <v>390</v>
      </c>
      <c r="L17" s="219">
        <v>400</v>
      </c>
      <c r="M17" s="219">
        <v>420</v>
      </c>
      <c r="N17" s="219">
        <v>430</v>
      </c>
    </row>
    <row r="18" spans="1:14" ht="18.75" x14ac:dyDescent="0.3">
      <c r="A18" s="218" t="s">
        <v>29</v>
      </c>
      <c r="B18" s="219">
        <v>200</v>
      </c>
      <c r="C18" s="219">
        <v>200</v>
      </c>
      <c r="D18" s="219">
        <v>190</v>
      </c>
      <c r="E18" s="219">
        <v>190</v>
      </c>
      <c r="F18" s="219">
        <v>190</v>
      </c>
      <c r="G18" s="219">
        <v>190</v>
      </c>
      <c r="H18" s="219">
        <v>190</v>
      </c>
      <c r="I18" s="219">
        <v>190</v>
      </c>
      <c r="J18" s="219">
        <v>190</v>
      </c>
      <c r="K18" s="219">
        <v>190</v>
      </c>
      <c r="L18" s="219">
        <v>190</v>
      </c>
      <c r="M18" s="219">
        <v>200</v>
      </c>
      <c r="N18" s="219">
        <v>200</v>
      </c>
    </row>
    <row r="19" spans="1:14" ht="18.75" x14ac:dyDescent="0.3">
      <c r="A19" s="218" t="s">
        <v>30</v>
      </c>
      <c r="B19" s="219">
        <v>200</v>
      </c>
      <c r="C19" s="219">
        <v>190</v>
      </c>
      <c r="D19" s="219">
        <v>160</v>
      </c>
      <c r="E19" s="219">
        <v>150</v>
      </c>
      <c r="F19" s="219">
        <v>130</v>
      </c>
      <c r="G19" s="219">
        <v>130</v>
      </c>
      <c r="H19" s="219">
        <v>120</v>
      </c>
      <c r="I19" s="219">
        <v>120</v>
      </c>
      <c r="J19" s="219">
        <v>120</v>
      </c>
      <c r="K19" s="219">
        <v>120</v>
      </c>
      <c r="L19" s="219">
        <v>120</v>
      </c>
      <c r="M19" s="219">
        <v>120</v>
      </c>
      <c r="N19" s="219">
        <v>120</v>
      </c>
    </row>
    <row r="20" spans="1:14" ht="18.75" x14ac:dyDescent="0.3">
      <c r="A20" s="218" t="s">
        <v>31</v>
      </c>
      <c r="B20" s="219">
        <v>60</v>
      </c>
      <c r="C20" s="219">
        <v>60</v>
      </c>
      <c r="D20" s="219">
        <v>60</v>
      </c>
      <c r="E20" s="219">
        <v>50</v>
      </c>
      <c r="F20" s="219">
        <v>50</v>
      </c>
      <c r="G20" s="219">
        <v>50</v>
      </c>
      <c r="H20" s="219">
        <v>40</v>
      </c>
      <c r="I20" s="219">
        <v>40</v>
      </c>
      <c r="J20" s="219">
        <v>40</v>
      </c>
      <c r="K20" s="219">
        <v>40</v>
      </c>
      <c r="L20" s="219">
        <v>40</v>
      </c>
      <c r="M20" s="219">
        <v>40</v>
      </c>
      <c r="N20" s="219">
        <v>50</v>
      </c>
    </row>
    <row r="21" spans="1:14" ht="18.75" x14ac:dyDescent="0.3">
      <c r="A21" s="218" t="s">
        <v>32</v>
      </c>
      <c r="B21" s="219">
        <v>40</v>
      </c>
      <c r="C21" s="219">
        <v>30</v>
      </c>
      <c r="D21" s="219">
        <v>20</v>
      </c>
      <c r="E21" s="219">
        <v>20</v>
      </c>
      <c r="F21" s="219">
        <v>20</v>
      </c>
      <c r="G21" s="219">
        <v>20</v>
      </c>
      <c r="H21" s="219">
        <v>20</v>
      </c>
      <c r="I21" s="219">
        <v>20</v>
      </c>
      <c r="J21" s="219">
        <v>20</v>
      </c>
      <c r="K21" s="219">
        <v>20</v>
      </c>
      <c r="L21" s="219">
        <v>20</v>
      </c>
      <c r="M21" s="219">
        <v>20</v>
      </c>
      <c r="N21" s="219">
        <v>10</v>
      </c>
    </row>
    <row r="22" spans="1:14" ht="18.75" x14ac:dyDescent="0.3">
      <c r="A22" s="218" t="s">
        <v>33</v>
      </c>
      <c r="B22" s="219">
        <v>70</v>
      </c>
      <c r="C22" s="219">
        <v>70</v>
      </c>
      <c r="D22" s="219">
        <v>60</v>
      </c>
      <c r="E22" s="219">
        <v>60</v>
      </c>
      <c r="F22" s="219">
        <v>50</v>
      </c>
      <c r="G22" s="219">
        <v>60</v>
      </c>
      <c r="H22" s="219">
        <v>60</v>
      </c>
      <c r="I22" s="219">
        <v>50</v>
      </c>
      <c r="J22" s="219">
        <v>50</v>
      </c>
      <c r="K22" s="219">
        <v>50</v>
      </c>
      <c r="L22" s="219">
        <v>50</v>
      </c>
      <c r="M22" s="219">
        <v>50</v>
      </c>
      <c r="N22" s="219">
        <v>50</v>
      </c>
    </row>
    <row r="23" spans="1:14" ht="18.75" x14ac:dyDescent="0.3">
      <c r="A23" s="218" t="s">
        <v>34</v>
      </c>
      <c r="B23" s="219">
        <v>800</v>
      </c>
      <c r="C23" s="219">
        <v>750</v>
      </c>
      <c r="D23" s="219">
        <v>740</v>
      </c>
      <c r="E23" s="219">
        <v>700</v>
      </c>
      <c r="F23" s="219">
        <v>690</v>
      </c>
      <c r="G23" s="219">
        <v>680</v>
      </c>
      <c r="H23" s="219">
        <v>650</v>
      </c>
      <c r="I23" s="219">
        <v>640</v>
      </c>
      <c r="J23" s="219">
        <v>620</v>
      </c>
      <c r="K23" s="219">
        <v>620</v>
      </c>
      <c r="L23" s="219">
        <v>610</v>
      </c>
      <c r="M23" s="219">
        <v>600</v>
      </c>
      <c r="N23" s="219">
        <v>610</v>
      </c>
    </row>
    <row r="24" spans="1:14" ht="18.75" x14ac:dyDescent="0.3">
      <c r="A24" s="218" t="s">
        <v>35</v>
      </c>
      <c r="B24" s="219">
        <v>290</v>
      </c>
      <c r="C24" s="219">
        <v>300</v>
      </c>
      <c r="D24" s="219">
        <v>290</v>
      </c>
      <c r="E24" s="219">
        <v>280</v>
      </c>
      <c r="F24" s="219">
        <v>280</v>
      </c>
      <c r="G24" s="219">
        <v>250</v>
      </c>
      <c r="H24" s="219">
        <v>250</v>
      </c>
      <c r="I24" s="219">
        <v>240</v>
      </c>
      <c r="J24" s="219">
        <v>240</v>
      </c>
      <c r="K24" s="219">
        <v>240</v>
      </c>
      <c r="L24" s="219">
        <v>240</v>
      </c>
      <c r="M24" s="219">
        <v>240</v>
      </c>
      <c r="N24" s="219">
        <v>240</v>
      </c>
    </row>
    <row r="25" spans="1:14" ht="18.75" x14ac:dyDescent="0.3">
      <c r="A25" s="218" t="s">
        <v>36</v>
      </c>
      <c r="B25" s="219">
        <v>40</v>
      </c>
      <c r="C25" s="219">
        <v>40</v>
      </c>
      <c r="D25" s="219">
        <v>40</v>
      </c>
      <c r="E25" s="219">
        <v>40</v>
      </c>
      <c r="F25" s="219">
        <v>40</v>
      </c>
      <c r="G25" s="219">
        <v>40</v>
      </c>
      <c r="H25" s="219">
        <v>40</v>
      </c>
      <c r="I25" s="219">
        <v>30</v>
      </c>
      <c r="J25" s="219">
        <v>30</v>
      </c>
      <c r="K25" s="219">
        <v>30</v>
      </c>
      <c r="L25" s="219">
        <v>30</v>
      </c>
      <c r="M25" s="219">
        <v>30</v>
      </c>
      <c r="N25" s="219">
        <v>30</v>
      </c>
    </row>
    <row r="26" spans="1:14" ht="18.75" x14ac:dyDescent="0.3">
      <c r="A26" s="218" t="s">
        <v>37</v>
      </c>
      <c r="B26" s="219">
        <v>470</v>
      </c>
      <c r="C26" s="219">
        <v>440</v>
      </c>
      <c r="D26" s="219">
        <v>430</v>
      </c>
      <c r="E26" s="219">
        <v>420</v>
      </c>
      <c r="F26" s="219">
        <v>400</v>
      </c>
      <c r="G26" s="219">
        <v>390</v>
      </c>
      <c r="H26" s="219">
        <v>370</v>
      </c>
      <c r="I26" s="219">
        <v>360</v>
      </c>
      <c r="J26" s="219">
        <v>360</v>
      </c>
      <c r="K26" s="219">
        <v>350</v>
      </c>
      <c r="L26" s="219">
        <v>350</v>
      </c>
      <c r="M26" s="219">
        <v>350</v>
      </c>
      <c r="N26" s="219">
        <v>350</v>
      </c>
    </row>
    <row r="27" spans="1:14" ht="18.75" x14ac:dyDescent="0.3">
      <c r="A27" s="218" t="s">
        <v>38</v>
      </c>
      <c r="B27" s="219">
        <v>270</v>
      </c>
      <c r="C27" s="219">
        <v>280</v>
      </c>
      <c r="D27" s="219">
        <v>270</v>
      </c>
      <c r="E27" s="219">
        <v>250</v>
      </c>
      <c r="F27" s="219">
        <v>250</v>
      </c>
      <c r="G27" s="219">
        <v>240</v>
      </c>
      <c r="H27" s="219">
        <v>250</v>
      </c>
      <c r="I27" s="219">
        <v>240</v>
      </c>
      <c r="J27" s="219">
        <v>240</v>
      </c>
      <c r="K27" s="219">
        <v>250</v>
      </c>
      <c r="L27" s="219">
        <v>260</v>
      </c>
      <c r="M27" s="219">
        <v>260</v>
      </c>
      <c r="N27" s="219">
        <v>260</v>
      </c>
    </row>
    <row r="28" spans="1:14" ht="18.75" x14ac:dyDescent="0.3">
      <c r="A28" s="218" t="s">
        <v>39</v>
      </c>
      <c r="B28" s="219">
        <v>160</v>
      </c>
      <c r="C28" s="219">
        <v>150</v>
      </c>
      <c r="D28" s="219">
        <v>150</v>
      </c>
      <c r="E28" s="219">
        <v>140</v>
      </c>
      <c r="F28" s="219">
        <v>120</v>
      </c>
      <c r="G28" s="219">
        <v>120</v>
      </c>
      <c r="H28" s="219">
        <v>120</v>
      </c>
      <c r="I28" s="219">
        <v>110</v>
      </c>
      <c r="J28" s="219">
        <v>110</v>
      </c>
      <c r="K28" s="219">
        <v>110</v>
      </c>
      <c r="L28" s="219">
        <v>110</v>
      </c>
      <c r="M28" s="219">
        <v>110</v>
      </c>
      <c r="N28" s="219">
        <v>110</v>
      </c>
    </row>
    <row r="29" spans="1:14" ht="18.75" x14ac:dyDescent="0.3">
      <c r="A29" s="218" t="s">
        <v>40</v>
      </c>
      <c r="B29" s="219">
        <v>240</v>
      </c>
      <c r="C29" s="219">
        <v>230</v>
      </c>
      <c r="D29" s="219">
        <v>230</v>
      </c>
      <c r="E29" s="219">
        <v>210</v>
      </c>
      <c r="F29" s="219">
        <v>220</v>
      </c>
      <c r="G29" s="219">
        <v>210</v>
      </c>
      <c r="H29" s="219">
        <v>210</v>
      </c>
      <c r="I29" s="219">
        <v>220</v>
      </c>
      <c r="J29" s="219">
        <v>220</v>
      </c>
      <c r="K29" s="219">
        <v>230</v>
      </c>
      <c r="L29" s="219">
        <v>230</v>
      </c>
      <c r="M29" s="219">
        <v>240</v>
      </c>
      <c r="N29" s="219">
        <v>240</v>
      </c>
    </row>
    <row r="30" spans="1:14" ht="18.75" x14ac:dyDescent="0.3">
      <c r="A30" s="218" t="s">
        <v>41</v>
      </c>
      <c r="B30" s="219">
        <v>50</v>
      </c>
      <c r="C30" s="219">
        <v>50</v>
      </c>
      <c r="D30" s="219">
        <v>40</v>
      </c>
      <c r="E30" s="219">
        <v>40</v>
      </c>
      <c r="F30" s="219">
        <v>40</v>
      </c>
      <c r="G30" s="219">
        <v>40</v>
      </c>
      <c r="H30" s="219">
        <v>40</v>
      </c>
      <c r="I30" s="219">
        <v>40</v>
      </c>
      <c r="J30" s="219">
        <v>40</v>
      </c>
      <c r="K30" s="219">
        <v>40</v>
      </c>
      <c r="L30" s="219">
        <v>40</v>
      </c>
      <c r="M30" s="219">
        <v>40</v>
      </c>
      <c r="N30" s="219">
        <v>40</v>
      </c>
    </row>
    <row r="31" spans="1:14" ht="18.75" x14ac:dyDescent="0.3">
      <c r="A31" s="218" t="s">
        <v>42</v>
      </c>
      <c r="B31" s="219">
        <v>200</v>
      </c>
      <c r="C31" s="219">
        <v>200</v>
      </c>
      <c r="D31" s="219">
        <v>200</v>
      </c>
      <c r="E31" s="219">
        <v>180</v>
      </c>
      <c r="F31" s="219">
        <v>190</v>
      </c>
      <c r="G31" s="219">
        <v>190</v>
      </c>
      <c r="H31" s="219">
        <v>190</v>
      </c>
      <c r="I31" s="219">
        <v>180</v>
      </c>
      <c r="J31" s="219">
        <v>180</v>
      </c>
      <c r="K31" s="219">
        <v>180</v>
      </c>
      <c r="L31" s="219">
        <v>180</v>
      </c>
      <c r="M31" s="219">
        <v>180</v>
      </c>
      <c r="N31" s="219">
        <v>180</v>
      </c>
    </row>
    <row r="32" spans="1:14" ht="18.75" x14ac:dyDescent="0.3">
      <c r="A32" s="218" t="s">
        <v>43</v>
      </c>
      <c r="B32" s="219">
        <v>130</v>
      </c>
      <c r="C32" s="219">
        <v>130</v>
      </c>
      <c r="D32" s="219">
        <v>120</v>
      </c>
      <c r="E32" s="219">
        <v>110</v>
      </c>
      <c r="F32" s="219">
        <v>110</v>
      </c>
      <c r="G32" s="219">
        <v>110</v>
      </c>
      <c r="H32" s="219">
        <v>110</v>
      </c>
      <c r="I32" s="219">
        <v>110</v>
      </c>
      <c r="J32" s="219">
        <v>110</v>
      </c>
      <c r="K32" s="219">
        <v>110</v>
      </c>
      <c r="L32" s="219">
        <v>110</v>
      </c>
      <c r="M32" s="219">
        <v>110</v>
      </c>
      <c r="N32" s="219">
        <v>110</v>
      </c>
    </row>
    <row r="33" spans="1:14" ht="18.75" x14ac:dyDescent="0.3">
      <c r="A33" s="218" t="s">
        <v>44</v>
      </c>
      <c r="B33" s="219">
        <v>90</v>
      </c>
      <c r="C33" s="219">
        <v>80</v>
      </c>
      <c r="D33" s="219">
        <v>80</v>
      </c>
      <c r="E33" s="219">
        <v>70</v>
      </c>
      <c r="F33" s="219">
        <v>70</v>
      </c>
      <c r="G33" s="219">
        <v>70</v>
      </c>
      <c r="H33" s="219">
        <v>70</v>
      </c>
      <c r="I33" s="219">
        <v>60</v>
      </c>
      <c r="J33" s="219">
        <v>60</v>
      </c>
      <c r="K33" s="219">
        <v>60</v>
      </c>
      <c r="L33" s="219">
        <v>60</v>
      </c>
      <c r="M33" s="219">
        <v>60</v>
      </c>
      <c r="N33" s="219">
        <v>60</v>
      </c>
    </row>
    <row r="34" spans="1:14" ht="19.5" thickBot="1" x14ac:dyDescent="0.35">
      <c r="A34" s="222" t="s">
        <v>45</v>
      </c>
      <c r="B34" s="223">
        <v>190</v>
      </c>
      <c r="C34" s="223">
        <v>190</v>
      </c>
      <c r="D34" s="223">
        <v>190</v>
      </c>
      <c r="E34" s="223">
        <v>170</v>
      </c>
      <c r="F34" s="223">
        <v>170</v>
      </c>
      <c r="G34" s="223">
        <v>170</v>
      </c>
      <c r="H34" s="223">
        <v>160</v>
      </c>
      <c r="I34" s="223">
        <v>160</v>
      </c>
      <c r="J34" s="223">
        <v>160</v>
      </c>
      <c r="K34" s="223">
        <v>170</v>
      </c>
      <c r="L34" s="223">
        <v>170</v>
      </c>
      <c r="M34" s="223">
        <v>160</v>
      </c>
      <c r="N34" s="223">
        <v>170</v>
      </c>
    </row>
    <row r="35" spans="1:14" ht="19.5" thickTop="1" x14ac:dyDescent="0.3">
      <c r="A35" s="220" t="s">
        <v>116</v>
      </c>
      <c r="B35" s="221">
        <v>7420</v>
      </c>
      <c r="C35" s="356">
        <f>SUM(C2:C34)</f>
        <v>7300</v>
      </c>
      <c r="D35" s="356">
        <f t="shared" ref="D35:N35" si="0">SUM(D2:D34)</f>
        <v>7100</v>
      </c>
      <c r="E35" s="356">
        <f t="shared" si="0"/>
        <v>6850</v>
      </c>
      <c r="F35" s="356">
        <f t="shared" si="0"/>
        <v>6770</v>
      </c>
      <c r="G35" s="356">
        <f t="shared" si="0"/>
        <v>6700</v>
      </c>
      <c r="H35" s="356">
        <f t="shared" si="0"/>
        <v>6580</v>
      </c>
      <c r="I35" s="356">
        <f t="shared" si="0"/>
        <v>6500</v>
      </c>
      <c r="J35" s="356">
        <f t="shared" si="0"/>
        <v>6550</v>
      </c>
      <c r="K35" s="356">
        <f t="shared" si="0"/>
        <v>6610</v>
      </c>
      <c r="L35" s="356">
        <f t="shared" si="0"/>
        <v>6650</v>
      </c>
      <c r="M35" s="356">
        <f t="shared" si="0"/>
        <v>6660</v>
      </c>
      <c r="N35" s="356">
        <f t="shared" si="0"/>
        <v>6740</v>
      </c>
    </row>
    <row r="36" spans="1:14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8.75" x14ac:dyDescent="0.3">
      <c r="A37" s="217" t="s">
        <v>0</v>
      </c>
      <c r="B37" s="217" t="s">
        <v>1</v>
      </c>
      <c r="C37" s="217">
        <v>2024</v>
      </c>
      <c r="D37" s="217">
        <v>2025</v>
      </c>
      <c r="E37" s="217">
        <v>2026</v>
      </c>
      <c r="F37" s="217">
        <v>2027</v>
      </c>
      <c r="G37" s="217">
        <v>2028</v>
      </c>
      <c r="H37" s="217">
        <v>2029</v>
      </c>
      <c r="I37" s="217">
        <v>2030</v>
      </c>
      <c r="J37" s="217">
        <v>2031</v>
      </c>
      <c r="K37" s="217">
        <v>2032</v>
      </c>
      <c r="L37" s="217">
        <v>2033</v>
      </c>
      <c r="M37" s="217">
        <v>2034</v>
      </c>
      <c r="N37" s="217">
        <v>2035</v>
      </c>
    </row>
    <row r="38" spans="1:14" ht="18.75" x14ac:dyDescent="0.3">
      <c r="A38" s="224" t="s">
        <v>2</v>
      </c>
      <c r="B38" s="225">
        <v>447</v>
      </c>
      <c r="C38" s="225">
        <v>470</v>
      </c>
      <c r="D38" s="225">
        <v>490</v>
      </c>
      <c r="E38" s="225">
        <v>510</v>
      </c>
      <c r="F38" s="225">
        <v>500</v>
      </c>
      <c r="G38" s="225">
        <v>500</v>
      </c>
      <c r="H38" s="225">
        <v>460</v>
      </c>
      <c r="I38" s="225">
        <v>470</v>
      </c>
      <c r="J38" s="225">
        <v>430</v>
      </c>
      <c r="K38" s="225">
        <v>430</v>
      </c>
      <c r="L38" s="225">
        <v>420</v>
      </c>
      <c r="M38" s="225">
        <v>440</v>
      </c>
      <c r="N38" s="225">
        <v>440</v>
      </c>
    </row>
    <row r="39" spans="1:14" ht="18.75" x14ac:dyDescent="0.3">
      <c r="A39" s="224" t="s">
        <v>3</v>
      </c>
      <c r="B39" s="225">
        <v>109</v>
      </c>
      <c r="C39" s="225">
        <v>100</v>
      </c>
      <c r="D39" s="225">
        <v>100</v>
      </c>
      <c r="E39" s="225">
        <v>90</v>
      </c>
      <c r="F39" s="225">
        <v>90</v>
      </c>
      <c r="G39" s="225">
        <v>80</v>
      </c>
      <c r="H39" s="225">
        <v>90</v>
      </c>
      <c r="I39" s="225">
        <v>90</v>
      </c>
      <c r="J39" s="225">
        <v>80</v>
      </c>
      <c r="K39" s="225">
        <v>70</v>
      </c>
      <c r="L39" s="225">
        <v>60</v>
      </c>
      <c r="M39" s="225">
        <v>60</v>
      </c>
      <c r="N39" s="225">
        <v>60</v>
      </c>
    </row>
    <row r="40" spans="1:14" ht="18.75" x14ac:dyDescent="0.3">
      <c r="A40" s="224" t="s">
        <v>4</v>
      </c>
      <c r="B40" s="225">
        <v>494</v>
      </c>
      <c r="C40" s="225">
        <v>480</v>
      </c>
      <c r="D40" s="225">
        <v>470</v>
      </c>
      <c r="E40" s="225">
        <v>470</v>
      </c>
      <c r="F40" s="225">
        <v>450</v>
      </c>
      <c r="G40" s="225">
        <v>470</v>
      </c>
      <c r="H40" s="225">
        <v>460</v>
      </c>
      <c r="I40" s="225">
        <v>430</v>
      </c>
      <c r="J40" s="225">
        <v>380</v>
      </c>
      <c r="K40" s="225">
        <v>370</v>
      </c>
      <c r="L40" s="225">
        <v>380</v>
      </c>
      <c r="M40" s="225">
        <v>390</v>
      </c>
      <c r="N40" s="225">
        <v>390</v>
      </c>
    </row>
    <row r="41" spans="1:14" ht="18.75" x14ac:dyDescent="0.3">
      <c r="A41" s="224" t="s">
        <v>111</v>
      </c>
      <c r="B41" s="225">
        <v>8</v>
      </c>
      <c r="C41" s="225">
        <v>10</v>
      </c>
      <c r="D41" s="225">
        <v>10</v>
      </c>
      <c r="E41" s="225">
        <v>10</v>
      </c>
      <c r="F41" s="225">
        <v>10</v>
      </c>
      <c r="G41" s="225">
        <v>10</v>
      </c>
      <c r="H41" s="225">
        <v>10</v>
      </c>
      <c r="I41" s="225">
        <v>10</v>
      </c>
      <c r="J41" s="225">
        <v>10</v>
      </c>
      <c r="K41" s="225">
        <v>10</v>
      </c>
      <c r="L41" s="225">
        <v>10</v>
      </c>
      <c r="M41" s="225">
        <v>10</v>
      </c>
      <c r="N41" s="225">
        <v>10</v>
      </c>
    </row>
    <row r="42" spans="1:14" ht="18.75" x14ac:dyDescent="0.3">
      <c r="A42" s="224" t="s">
        <v>5</v>
      </c>
      <c r="B42" s="225">
        <v>101</v>
      </c>
      <c r="C42" s="225">
        <v>100</v>
      </c>
      <c r="D42" s="225">
        <v>110</v>
      </c>
      <c r="E42" s="225">
        <v>110</v>
      </c>
      <c r="F42" s="225">
        <v>120</v>
      </c>
      <c r="G42" s="225">
        <v>100</v>
      </c>
      <c r="H42" s="225">
        <v>100</v>
      </c>
      <c r="I42" s="225">
        <v>90</v>
      </c>
      <c r="J42" s="225">
        <v>90</v>
      </c>
      <c r="K42" s="225">
        <v>90</v>
      </c>
      <c r="L42" s="225">
        <v>80</v>
      </c>
      <c r="M42" s="225">
        <v>90</v>
      </c>
      <c r="N42" s="225">
        <v>90</v>
      </c>
    </row>
    <row r="43" spans="1:14" ht="18.75" x14ac:dyDescent="0.3">
      <c r="A43" s="224" t="s">
        <v>6</v>
      </c>
      <c r="B43" s="225">
        <v>132</v>
      </c>
      <c r="C43" s="225">
        <v>120</v>
      </c>
      <c r="D43" s="225">
        <v>120</v>
      </c>
      <c r="E43" s="225">
        <v>120</v>
      </c>
      <c r="F43" s="225">
        <v>110</v>
      </c>
      <c r="G43" s="225">
        <v>110</v>
      </c>
      <c r="H43" s="225">
        <v>120</v>
      </c>
      <c r="I43" s="225">
        <v>120</v>
      </c>
      <c r="J43" s="225">
        <v>120</v>
      </c>
      <c r="K43" s="225">
        <v>100</v>
      </c>
      <c r="L43" s="225">
        <v>100</v>
      </c>
      <c r="M43" s="225">
        <v>100</v>
      </c>
      <c r="N43" s="225">
        <v>100</v>
      </c>
    </row>
    <row r="44" spans="1:14" ht="18.75" x14ac:dyDescent="0.3">
      <c r="A44" s="224" t="s">
        <v>7</v>
      </c>
      <c r="B44" s="225">
        <v>741</v>
      </c>
      <c r="C44" s="225">
        <v>770</v>
      </c>
      <c r="D44" s="225">
        <v>780</v>
      </c>
      <c r="E44" s="225">
        <v>820</v>
      </c>
      <c r="F44" s="225">
        <v>820</v>
      </c>
      <c r="G44" s="225">
        <v>830</v>
      </c>
      <c r="H44" s="225">
        <v>800</v>
      </c>
      <c r="I44" s="225">
        <v>780</v>
      </c>
      <c r="J44" s="225">
        <v>750</v>
      </c>
      <c r="K44" s="225">
        <v>720</v>
      </c>
      <c r="L44" s="225">
        <v>720</v>
      </c>
      <c r="M44" s="225">
        <v>740</v>
      </c>
      <c r="N44" s="225">
        <v>730</v>
      </c>
    </row>
    <row r="45" spans="1:14" ht="18.75" x14ac:dyDescent="0.3">
      <c r="A45" s="224" t="s">
        <v>8</v>
      </c>
      <c r="B45" s="225">
        <v>296</v>
      </c>
      <c r="C45" s="225">
        <v>310</v>
      </c>
      <c r="D45" s="225">
        <v>350</v>
      </c>
      <c r="E45" s="225">
        <v>380</v>
      </c>
      <c r="F45" s="225">
        <v>410</v>
      </c>
      <c r="G45" s="225">
        <v>420</v>
      </c>
      <c r="H45" s="225">
        <v>410</v>
      </c>
      <c r="I45" s="225">
        <v>410</v>
      </c>
      <c r="J45" s="225">
        <v>420</v>
      </c>
      <c r="K45" s="225">
        <v>420</v>
      </c>
      <c r="L45" s="225">
        <v>450</v>
      </c>
      <c r="M45" s="225">
        <v>470</v>
      </c>
      <c r="N45" s="225">
        <v>490</v>
      </c>
    </row>
    <row r="46" spans="1:14" ht="18.75" x14ac:dyDescent="0.3">
      <c r="A46" s="224" t="s">
        <v>9</v>
      </c>
      <c r="B46" s="225">
        <v>176</v>
      </c>
      <c r="C46" s="225">
        <v>170</v>
      </c>
      <c r="D46" s="225">
        <v>170</v>
      </c>
      <c r="E46" s="225">
        <v>160</v>
      </c>
      <c r="F46" s="225">
        <v>160</v>
      </c>
      <c r="G46" s="225">
        <v>140</v>
      </c>
      <c r="H46" s="225">
        <v>140</v>
      </c>
      <c r="I46" s="225">
        <v>120</v>
      </c>
      <c r="J46" s="225">
        <v>100</v>
      </c>
      <c r="K46" s="225">
        <v>90</v>
      </c>
      <c r="L46" s="225">
        <v>90</v>
      </c>
      <c r="M46" s="225">
        <v>90</v>
      </c>
      <c r="N46" s="225">
        <v>90</v>
      </c>
    </row>
    <row r="47" spans="1:14" ht="18.75" x14ac:dyDescent="0.3">
      <c r="A47" s="224" t="s">
        <v>10</v>
      </c>
      <c r="B47" s="225">
        <v>388</v>
      </c>
      <c r="C47" s="225">
        <v>370</v>
      </c>
      <c r="D47" s="225">
        <v>390</v>
      </c>
      <c r="E47" s="225">
        <v>410</v>
      </c>
      <c r="F47" s="225">
        <v>400</v>
      </c>
      <c r="G47" s="225">
        <v>410</v>
      </c>
      <c r="H47" s="225">
        <v>400</v>
      </c>
      <c r="I47" s="225">
        <v>400</v>
      </c>
      <c r="J47" s="225">
        <v>380</v>
      </c>
      <c r="K47" s="225">
        <v>380</v>
      </c>
      <c r="L47" s="225">
        <v>380</v>
      </c>
      <c r="M47" s="225">
        <v>380</v>
      </c>
      <c r="N47" s="225">
        <v>380</v>
      </c>
    </row>
    <row r="48" spans="1:14" ht="18.75" x14ac:dyDescent="0.3">
      <c r="A48" s="224" t="s">
        <v>11</v>
      </c>
      <c r="B48" s="225">
        <v>757</v>
      </c>
      <c r="C48" s="225">
        <v>730</v>
      </c>
      <c r="D48" s="225">
        <v>680</v>
      </c>
      <c r="E48" s="225">
        <v>690</v>
      </c>
      <c r="F48" s="225">
        <v>690</v>
      </c>
      <c r="G48" s="225">
        <v>680</v>
      </c>
      <c r="H48" s="225">
        <v>650</v>
      </c>
      <c r="I48" s="225">
        <v>610</v>
      </c>
      <c r="J48" s="225">
        <v>600</v>
      </c>
      <c r="K48" s="225">
        <v>580</v>
      </c>
      <c r="L48" s="225">
        <v>590</v>
      </c>
      <c r="M48" s="225">
        <v>570</v>
      </c>
      <c r="N48" s="225">
        <v>560</v>
      </c>
    </row>
    <row r="49" spans="1:14" ht="18.75" x14ac:dyDescent="0.3">
      <c r="A49" s="224" t="s">
        <v>12</v>
      </c>
      <c r="B49" s="225">
        <v>85</v>
      </c>
      <c r="C49" s="225">
        <v>100</v>
      </c>
      <c r="D49" s="225">
        <v>100</v>
      </c>
      <c r="E49" s="225">
        <v>90</v>
      </c>
      <c r="F49" s="225">
        <v>100</v>
      </c>
      <c r="G49" s="225">
        <v>90</v>
      </c>
      <c r="H49" s="225">
        <v>90</v>
      </c>
      <c r="I49" s="225">
        <v>80</v>
      </c>
      <c r="J49" s="225">
        <v>80</v>
      </c>
      <c r="K49" s="225">
        <v>70</v>
      </c>
      <c r="L49" s="225">
        <v>70</v>
      </c>
      <c r="M49" s="225">
        <v>60</v>
      </c>
      <c r="N49" s="225">
        <v>60</v>
      </c>
    </row>
    <row r="50" spans="1:14" ht="19.5" thickBot="1" x14ac:dyDescent="0.35">
      <c r="A50" s="226" t="s">
        <v>13</v>
      </c>
      <c r="B50" s="227">
        <v>47</v>
      </c>
      <c r="C50" s="227">
        <v>50</v>
      </c>
      <c r="D50" s="227">
        <v>50</v>
      </c>
      <c r="E50" s="227">
        <v>50</v>
      </c>
      <c r="F50" s="227">
        <v>40</v>
      </c>
      <c r="G50" s="227">
        <v>40</v>
      </c>
      <c r="H50" s="227">
        <v>40</v>
      </c>
      <c r="I50" s="227">
        <v>40</v>
      </c>
      <c r="J50" s="227">
        <v>30</v>
      </c>
      <c r="K50" s="227">
        <v>30</v>
      </c>
      <c r="L50" s="227">
        <v>30</v>
      </c>
      <c r="M50" s="227">
        <v>40</v>
      </c>
      <c r="N50" s="227">
        <v>30</v>
      </c>
    </row>
    <row r="51" spans="1:14" ht="20.25" thickTop="1" thickBot="1" x14ac:dyDescent="0.35">
      <c r="A51" s="357" t="s">
        <v>117</v>
      </c>
      <c r="B51" s="358">
        <v>3850</v>
      </c>
      <c r="C51" s="359">
        <f>SUM(C38:C50)</f>
        <v>3780</v>
      </c>
      <c r="D51" s="359">
        <f t="shared" ref="D51:M51" si="1">SUM(D38:D50)</f>
        <v>3820</v>
      </c>
      <c r="E51" s="359">
        <f t="shared" si="1"/>
        <v>3910</v>
      </c>
      <c r="F51" s="359">
        <f t="shared" si="1"/>
        <v>3900</v>
      </c>
      <c r="G51" s="359">
        <f t="shared" si="1"/>
        <v>3880</v>
      </c>
      <c r="H51" s="359">
        <f t="shared" si="1"/>
        <v>3770</v>
      </c>
      <c r="I51" s="359">
        <f t="shared" si="1"/>
        <v>3650</v>
      </c>
      <c r="J51" s="359">
        <f t="shared" si="1"/>
        <v>3470</v>
      </c>
      <c r="K51" s="359">
        <f t="shared" si="1"/>
        <v>3360</v>
      </c>
      <c r="L51" s="359">
        <f t="shared" si="1"/>
        <v>3380</v>
      </c>
      <c r="M51" s="359">
        <f t="shared" si="1"/>
        <v>3440</v>
      </c>
      <c r="N51" s="359">
        <f>SUM(N38:N50)</f>
        <v>3430</v>
      </c>
    </row>
    <row r="52" spans="1:14" s="93" customFormat="1" ht="19.5" thickBot="1" x14ac:dyDescent="0.35">
      <c r="A52" s="360" t="s">
        <v>118</v>
      </c>
      <c r="B52" s="361">
        <f t="shared" ref="B52:N52" si="2">B35+B51</f>
        <v>11270</v>
      </c>
      <c r="C52" s="362">
        <f t="shared" si="2"/>
        <v>11080</v>
      </c>
      <c r="D52" s="362">
        <f t="shared" si="2"/>
        <v>10920</v>
      </c>
      <c r="E52" s="362">
        <f t="shared" si="2"/>
        <v>10760</v>
      </c>
      <c r="F52" s="362">
        <f t="shared" si="2"/>
        <v>10670</v>
      </c>
      <c r="G52" s="362">
        <f t="shared" si="2"/>
        <v>10580</v>
      </c>
      <c r="H52" s="362">
        <f t="shared" si="2"/>
        <v>10350</v>
      </c>
      <c r="I52" s="362">
        <f t="shared" si="2"/>
        <v>10150</v>
      </c>
      <c r="J52" s="362">
        <f t="shared" si="2"/>
        <v>10020</v>
      </c>
      <c r="K52" s="362">
        <f t="shared" si="2"/>
        <v>9970</v>
      </c>
      <c r="L52" s="362">
        <f t="shared" si="2"/>
        <v>10030</v>
      </c>
      <c r="M52" s="362">
        <f t="shared" si="2"/>
        <v>10100</v>
      </c>
      <c r="N52" s="363">
        <f t="shared" si="2"/>
        <v>10170</v>
      </c>
    </row>
    <row r="53" spans="1:14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</sheetData>
  <pageMargins left="0.7" right="0.7" top="0.75" bottom="0.75" header="0.3" footer="0.3"/>
  <ignoredErrors>
    <ignoredError sqref="C51:M51 C35:N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F0869-129A-4390-BD7D-B356FCD9A72B}">
  <dimension ref="A1:T113"/>
  <sheetViews>
    <sheetView tabSelected="1" zoomScale="90" zoomScaleNormal="90" workbookViewId="0">
      <selection activeCell="R2" sqref="R2"/>
    </sheetView>
  </sheetViews>
  <sheetFormatPr defaultRowHeight="15" x14ac:dyDescent="0.25"/>
  <cols>
    <col min="1" max="1" width="25.28515625" style="12" customWidth="1"/>
    <col min="2" max="3" width="13.7109375" style="8" customWidth="1"/>
    <col min="4" max="4" width="8.7109375" style="8" customWidth="1"/>
    <col min="5" max="5" width="15.140625" style="8" customWidth="1"/>
    <col min="6" max="6" width="18" style="36" customWidth="1"/>
    <col min="7" max="7" width="15.5703125" style="36" customWidth="1"/>
    <col min="8" max="8" width="15.7109375" style="38" customWidth="1"/>
    <col min="9" max="9" width="13.7109375" style="38" customWidth="1"/>
    <col min="10" max="10" width="14" style="8" customWidth="1"/>
    <col min="11" max="11" width="14.42578125" style="8" customWidth="1"/>
    <col min="12" max="12" width="14.28515625" style="12" customWidth="1"/>
    <col min="13" max="13" width="14.28515625" style="235" customWidth="1"/>
    <col min="14" max="14" width="17" style="3" customWidth="1"/>
  </cols>
  <sheetData>
    <row r="1" spans="1:20" ht="43.9" customHeight="1" x14ac:dyDescent="0.25">
      <c r="A1" s="406" t="s">
        <v>124</v>
      </c>
      <c r="B1" s="406"/>
      <c r="C1" s="406"/>
      <c r="D1" s="406"/>
      <c r="E1" s="406"/>
      <c r="F1" s="406"/>
      <c r="G1" s="406"/>
      <c r="H1" s="406"/>
      <c r="I1" s="405" t="s">
        <v>125</v>
      </c>
      <c r="J1" s="405"/>
      <c r="K1" s="405"/>
      <c r="L1" s="405"/>
      <c r="M1" s="405"/>
      <c r="N1" s="405"/>
    </row>
    <row r="2" spans="1:20" ht="48" customHeight="1" x14ac:dyDescent="0.25">
      <c r="A2" s="373" t="s">
        <v>110</v>
      </c>
      <c r="B2" s="373"/>
      <c r="C2" s="373" t="s">
        <v>122</v>
      </c>
      <c r="D2" s="374" t="s">
        <v>123</v>
      </c>
      <c r="F2" s="407" t="s">
        <v>184</v>
      </c>
      <c r="G2" s="407"/>
      <c r="H2" s="407"/>
      <c r="I2" s="407"/>
      <c r="J2" s="407"/>
      <c r="K2" s="407"/>
      <c r="L2" s="407"/>
      <c r="O2" s="379"/>
      <c r="P2" s="379"/>
      <c r="Q2" s="379"/>
      <c r="R2" s="379"/>
      <c r="S2" s="379"/>
      <c r="T2" s="379"/>
    </row>
    <row r="3" spans="1:20" ht="18.75" x14ac:dyDescent="0.25">
      <c r="A3" s="209"/>
      <c r="B3" s="210"/>
      <c r="C3" s="210">
        <v>14.2</v>
      </c>
      <c r="D3" s="210">
        <v>23</v>
      </c>
      <c r="O3" s="91"/>
      <c r="P3" s="91"/>
      <c r="Q3" s="91"/>
      <c r="R3" s="91"/>
      <c r="S3" s="91"/>
      <c r="T3" s="91"/>
    </row>
    <row r="4" spans="1:20" ht="90" x14ac:dyDescent="0.25">
      <c r="A4" s="13" t="s">
        <v>46</v>
      </c>
      <c r="B4" s="5" t="s">
        <v>99</v>
      </c>
      <c r="C4" s="5" t="s">
        <v>113</v>
      </c>
      <c r="D4" s="5" t="s">
        <v>119</v>
      </c>
      <c r="E4" s="5" t="s">
        <v>103</v>
      </c>
      <c r="F4" s="5" t="s">
        <v>114</v>
      </c>
      <c r="G4" s="6" t="s">
        <v>96</v>
      </c>
      <c r="H4" s="5" t="s">
        <v>95</v>
      </c>
      <c r="I4" s="9" t="s">
        <v>120</v>
      </c>
      <c r="J4" s="244" t="s">
        <v>108</v>
      </c>
      <c r="K4" s="245" t="s">
        <v>107</v>
      </c>
      <c r="L4" s="245" t="s">
        <v>106</v>
      </c>
      <c r="M4" s="246" t="s">
        <v>109</v>
      </c>
      <c r="N4" s="247" t="s">
        <v>121</v>
      </c>
    </row>
    <row r="5" spans="1:20" s="7" customFormat="1" x14ac:dyDescent="0.25">
      <c r="A5" s="14" t="s">
        <v>94</v>
      </c>
      <c r="B5" s="135">
        <v>111</v>
      </c>
      <c r="C5" s="157">
        <v>13</v>
      </c>
      <c r="D5" s="157">
        <f>Taulukko11840[[#This Row],[Oppilasmäärä lv.  2024-2025]]/Taulukko11840[[#This Row],[Todellinen päätoimisten opettajien määrä]]</f>
        <v>8.5384615384615383</v>
      </c>
      <c r="E5" s="135">
        <f>'Väestöennuste alueittain'!I39</f>
        <v>90</v>
      </c>
      <c r="F5" s="164">
        <f>Taulukko11840[[#This Row],[Alueen  lapsimäärä lv. 2029-2030]]/$D$3</f>
        <v>3.9130434782608696</v>
      </c>
      <c r="G5" s="345">
        <f>Taulukko11840[[#This Row],[Laskennallinen opettajaresurssi 2029-2030]]-Taulukko11840[[#This Row],[Todellinen päätoimisten opettajien määrä]]</f>
        <v>-9.0869565217391308</v>
      </c>
      <c r="H5" s="106">
        <v>0</v>
      </c>
      <c r="I5" s="168"/>
      <c r="J5" s="84">
        <f>'Väestöennuste alueittain'!N39</f>
        <v>60</v>
      </c>
      <c r="K5" s="197">
        <f>Taulukko11840[[#This Row],[Alueen lasten määrä v. 2035]]/D3</f>
        <v>2.6086956521739131</v>
      </c>
      <c r="L5" s="321">
        <f>Taulukko11840[[#This Row],[Laskennallisesti opettajia v. 2035]]-Taulukko11840[[#This Row],[Todellinen päätoimisten opettajien määrä]]</f>
        <v>-10.391304347826086</v>
      </c>
      <c r="M5" s="106"/>
      <c r="N5" s="281"/>
    </row>
    <row r="6" spans="1:20" x14ac:dyDescent="0.25">
      <c r="A6" s="15" t="s">
        <v>50</v>
      </c>
      <c r="B6" s="126">
        <v>126</v>
      </c>
      <c r="C6" s="129">
        <v>9</v>
      </c>
      <c r="D6" s="129">
        <f>Taulukko11840[[#This Row],[Oppilasmäärä lv.  2024-2025]]/Taulukko11840[[#This Row],[Todellinen päätoimisten opettajien määrä]]</f>
        <v>14</v>
      </c>
      <c r="E6" s="126">
        <f>'Väestöennuste alueittain'!I5</f>
        <v>80</v>
      </c>
      <c r="F6" s="165">
        <f>Taulukko11840[[#This Row],[Alueen  lapsimäärä lv. 2029-2030]]/$C$3</f>
        <v>5.6338028169014089</v>
      </c>
      <c r="G6" s="346">
        <f>Taulukko11840[[#This Row],[Laskennallinen opettajaresurssi 2029-2030]]-Taulukko11840[[#This Row],[Todellinen päätoimisten opettajien määrä]]</f>
        <v>-3.3661971830985911</v>
      </c>
      <c r="H6" s="107">
        <f>Taulukko11840[[#This Row],[Alueen  lapsimäärä lv. 2029-2030]]+(E7/2)</f>
        <v>100</v>
      </c>
      <c r="I6" s="104">
        <f>Taulukko11840[[#This Row],[Koulun uusi oppilasmäärä]]/$C$3</f>
        <v>7.042253521126761</v>
      </c>
      <c r="J6" s="71">
        <f>'Väestöennuste alueittain'!N5</f>
        <v>90</v>
      </c>
      <c r="K6" s="122">
        <f>Taulukko11840[[#This Row],[Alueen lasten määrä v. 2035]]/$C$3</f>
        <v>6.3380281690140849</v>
      </c>
      <c r="L6" s="320">
        <f>Taulukko11840[[#This Row],[Laskennallisesti opettajia v. 2035]]-Taulukko11840[[#This Row],[Todellinen päätoimisten opettajien määrä]]</f>
        <v>-2.6619718309859151</v>
      </c>
      <c r="M6" s="107">
        <f>Taulukko11840[[#This Row],[Alueen lasten määrä v. 2035]]+(J7/2)</f>
        <v>110</v>
      </c>
      <c r="N6" s="228">
        <f>Taulukko11840[[#This Row],[Koulun uusi oppilasmäärä 2035]]/$C$3</f>
        <v>7.746478873239437</v>
      </c>
    </row>
    <row r="7" spans="1:20" x14ac:dyDescent="0.25">
      <c r="A7" s="15" t="s">
        <v>51</v>
      </c>
      <c r="B7" s="126">
        <v>54</v>
      </c>
      <c r="C7" s="129">
        <v>4</v>
      </c>
      <c r="D7" s="129">
        <f>Taulukko11840[[#This Row],[Oppilasmäärä lv.  2024-2025]]/Taulukko11840[[#This Row],[Todellinen päätoimisten opettajien määrä]]</f>
        <v>13.5</v>
      </c>
      <c r="E7" s="126">
        <f>'Väestöennuste alueittain'!I16</f>
        <v>40</v>
      </c>
      <c r="F7" s="165">
        <f>Taulukko11840[[#This Row],[Alueen  lapsimäärä lv. 2029-2030]]/$C$3</f>
        <v>2.8169014084507045</v>
      </c>
      <c r="G7" s="346">
        <f>Taulukko11840[[#This Row],[Laskennallinen opettajaresurssi 2029-2030]]-Taulukko11840[[#This Row],[Todellinen päätoimisten opettajien määrä]]</f>
        <v>-1.1830985915492955</v>
      </c>
      <c r="H7" s="105">
        <v>0</v>
      </c>
      <c r="I7" s="104"/>
      <c r="J7" s="71">
        <f>'Väestöennuste alueittain'!N16</f>
        <v>40</v>
      </c>
      <c r="K7" s="122">
        <f>Taulukko11840[[#This Row],[Alueen lasten määrä v. 2035]]/$C$3</f>
        <v>2.8169014084507045</v>
      </c>
      <c r="L7" s="320">
        <f>Taulukko11840[[#This Row],[Laskennallisesti opettajia v. 2035]]-Taulukko11840[[#This Row],[Todellinen päätoimisten opettajien määrä]]</f>
        <v>-1.1830985915492955</v>
      </c>
      <c r="M7" s="105"/>
      <c r="N7" s="228"/>
    </row>
    <row r="8" spans="1:20" x14ac:dyDescent="0.25">
      <c r="A8" s="15" t="s">
        <v>48</v>
      </c>
      <c r="B8" s="126">
        <v>396</v>
      </c>
      <c r="C8" s="129">
        <v>31</v>
      </c>
      <c r="D8" s="129">
        <f>Taulukko11840[[#This Row],[Oppilasmäärä lv.  2024-2025]]/Taulukko11840[[#This Row],[Todellinen päätoimisten opettajien määrä]]</f>
        <v>12.774193548387096</v>
      </c>
      <c r="E8" s="126">
        <f>'Väestöennuste alueittain'!I19+'Väestöennuste alueittain'!I46</f>
        <v>240</v>
      </c>
      <c r="F8" s="165">
        <f>Taulukko11840[[#This Row],[Alueen  lapsimäärä lv. 2029-2030]]/$C$3</f>
        <v>16.901408450704228</v>
      </c>
      <c r="G8" s="346">
        <f>Taulukko11840[[#This Row],[Laskennallinen opettajaresurssi 2029-2030]]-Taulukko11840[[#This Row],[Todellinen päätoimisten opettajien määrä]]</f>
        <v>-14.098591549295772</v>
      </c>
      <c r="H8" s="107">
        <f>H9+H10</f>
        <v>345</v>
      </c>
      <c r="I8" s="104">
        <f>Taulukko11840[[#This Row],[Koulun uusi oppilasmäärä]]/$C$3</f>
        <v>24.295774647887324</v>
      </c>
      <c r="J8" s="71">
        <f>J9+J10</f>
        <v>210</v>
      </c>
      <c r="K8" s="122">
        <f>Taulukko11840[[#This Row],[Alueen lasten määrä v. 2035]]/$C$3</f>
        <v>14.788732394366198</v>
      </c>
      <c r="L8" s="320">
        <f>Taulukko11840[[#This Row],[Laskennallisesti opettajia v. 2035]]-Taulukko11840[[#This Row],[Todellinen päätoimisten opettajien määrä]]</f>
        <v>-16.2112676056338</v>
      </c>
      <c r="M8" s="107">
        <f>M9+M10</f>
        <v>300</v>
      </c>
      <c r="N8" s="228">
        <f>Taulukko11840[[#This Row],[Koulun uusi oppilasmäärä 2035]]/$C$3</f>
        <v>21.126760563380284</v>
      </c>
    </row>
    <row r="9" spans="1:20" ht="14.45" customHeight="1" x14ac:dyDescent="0.25">
      <c r="A9" s="23" t="s">
        <v>91</v>
      </c>
      <c r="B9" s="136">
        <v>208</v>
      </c>
      <c r="C9" s="158"/>
      <c r="D9" s="158"/>
      <c r="E9" s="136">
        <f>E8-E10</f>
        <v>120</v>
      </c>
      <c r="F9" s="166">
        <f>Taulukko11840[[#This Row],[Alueen  lapsimäärä lv. 2029-2030]]/$C$3</f>
        <v>8.4507042253521139</v>
      </c>
      <c r="G9" s="347">
        <f>Taulukko11840[[#This Row],[Laskennallinen opettajaresurssi 2029-2030]]-Taulukko11840[[#This Row],[Todellinen päätoimisten opettajien määrä]]</f>
        <v>8.4507042253521139</v>
      </c>
      <c r="H9" s="108">
        <f>Taulukko11840[[#This Row],[Alueen  lapsimäärä lv. 2029-2030]]+E11+D115+E12</f>
        <v>180</v>
      </c>
      <c r="I9" s="104">
        <f>Taulukko11840[[#This Row],[Koulun uusi oppilasmäärä]]/$C$3</f>
        <v>12.67605633802817</v>
      </c>
      <c r="J9" s="71">
        <f>'Väestöennuste alueittain'!N19</f>
        <v>120</v>
      </c>
      <c r="K9" s="122">
        <f>Taulukko11840[[#This Row],[Alueen lasten määrä v. 2035]]/$C$3</f>
        <v>8.4507042253521139</v>
      </c>
      <c r="L9" s="320">
        <f>Taulukko11840[[#This Row],[Laskennallisesti opettajia v. 2035]]-Taulukko11840[[#This Row],[Todellinen päätoimisten opettajien määrä]]</f>
        <v>8.4507042253521139</v>
      </c>
      <c r="M9" s="108">
        <f>J11+J12+Taulukko11840[[#This Row],[Alueen lasten määrä v. 2035]]</f>
        <v>180</v>
      </c>
      <c r="N9" s="228">
        <f>Taulukko11840[[#This Row],[Koulun uusi oppilasmäärä 2035]]/$C$3</f>
        <v>12.67605633802817</v>
      </c>
    </row>
    <row r="10" spans="1:20" s="7" customFormat="1" ht="14.45" customHeight="1" x14ac:dyDescent="0.25">
      <c r="A10" s="74" t="s">
        <v>55</v>
      </c>
      <c r="B10" s="127">
        <v>188</v>
      </c>
      <c r="C10" s="130"/>
      <c r="D10" s="130"/>
      <c r="E10" s="127">
        <f>'Väestöennuste alueittain'!I46</f>
        <v>120</v>
      </c>
      <c r="F10" s="164">
        <f>Taulukko11840[[#This Row],[Alueen  lapsimäärä lv. 2029-2030]]/$D$3</f>
        <v>5.2173913043478262</v>
      </c>
      <c r="G10" s="348">
        <f>Taulukko11840[[#This Row],[Laskennallinen opettajaresurssi 2029-2030]]-Taulukko11840[[#This Row],[Todellinen päätoimisten opettajien määrä]]</f>
        <v>5.2173913043478262</v>
      </c>
      <c r="H10" s="109">
        <f>Taulukko11840[[#This Row],[Alueen  lapsimäärä lv. 2029-2030]]+(E5/2)</f>
        <v>165</v>
      </c>
      <c r="I10" s="115">
        <f>Taulukko11840[[#This Row],[Koulun uusi oppilasmäärä]]/D3</f>
        <v>7.1739130434782608</v>
      </c>
      <c r="J10" s="84">
        <f>'Väestöennuste alueittain'!N46</f>
        <v>90</v>
      </c>
      <c r="K10" s="197">
        <f>Taulukko11840[[#This Row],[Alueen lasten määrä v. 2035]]/D3</f>
        <v>3.9130434782608696</v>
      </c>
      <c r="L10" s="321">
        <f>Taulukko11840[[#This Row],[Laskennallisesti opettajia v. 2035]]-Taulukko11840[[#This Row],[Todellinen päätoimisten opettajien määrä]]</f>
        <v>3.9130434782608696</v>
      </c>
      <c r="M10" s="109">
        <f>(J5/2)+Taulukko11840[[#This Row],[Alueen lasten määrä v. 2035]]</f>
        <v>120</v>
      </c>
      <c r="N10" s="229">
        <f>Taulukko11840[[#This Row],[Koulun uusi oppilasmäärä 2035]]/D3</f>
        <v>5.2173913043478262</v>
      </c>
    </row>
    <row r="11" spans="1:20" x14ac:dyDescent="0.25">
      <c r="A11" s="15" t="s">
        <v>49</v>
      </c>
      <c r="B11" s="126">
        <v>71</v>
      </c>
      <c r="C11" s="129">
        <v>4.5999999999999996</v>
      </c>
      <c r="D11" s="129">
        <f>Taulukko11840[[#This Row],[Oppilasmäärä lv.  2024-2025]]/Taulukko11840[[#This Row],[Todellinen päätoimisten opettajien määrä]]</f>
        <v>15.434782608695654</v>
      </c>
      <c r="E11" s="126">
        <f>'Väestöennuste alueittain'!I20</f>
        <v>40</v>
      </c>
      <c r="F11" s="165">
        <f>Taulukko11840[[#This Row],[Alueen  lapsimäärä lv. 2029-2030]]/$C$3</f>
        <v>2.8169014084507045</v>
      </c>
      <c r="G11" s="346">
        <f>Taulukko11840[[#This Row],[Laskennallinen opettajaresurssi 2029-2030]]-Taulukko11840[[#This Row],[Todellinen päätoimisten opettajien määrä]]</f>
        <v>-1.7830985915492952</v>
      </c>
      <c r="H11" s="107">
        <v>0</v>
      </c>
      <c r="I11" s="104"/>
      <c r="J11" s="71">
        <f>'Väestöennuste alueittain'!N20</f>
        <v>50</v>
      </c>
      <c r="K11" s="122">
        <f>Taulukko11840[[#This Row],[Alueen lasten määrä v. 2035]]/$C$3</f>
        <v>3.5211267605633805</v>
      </c>
      <c r="L11" s="320">
        <f>Taulukko11840[[#This Row],[Laskennallisesti opettajia v. 2035]]-Taulukko11840[[#This Row],[Todellinen päätoimisten opettajien määrä]]</f>
        <v>-1.0788732394366192</v>
      </c>
      <c r="M11" s="107"/>
      <c r="N11" s="228"/>
    </row>
    <row r="12" spans="1:20" x14ac:dyDescent="0.25">
      <c r="A12" s="15" t="s">
        <v>47</v>
      </c>
      <c r="B12" s="126">
        <v>33</v>
      </c>
      <c r="C12" s="129">
        <v>2</v>
      </c>
      <c r="D12" s="129">
        <f>Taulukko11840[[#This Row],[Oppilasmäärä lv.  2024-2025]]/Taulukko11840[[#This Row],[Todellinen päätoimisten opettajien määrä]]</f>
        <v>16.5</v>
      </c>
      <c r="E12" s="126">
        <f>'Väestöennuste alueittain'!I21</f>
        <v>20</v>
      </c>
      <c r="F12" s="165">
        <f>Taulukko11840[[#This Row],[Alueen  lapsimäärä lv. 2029-2030]]/$C$3</f>
        <v>1.4084507042253522</v>
      </c>
      <c r="G12" s="346">
        <f>Taulukko11840[[#This Row],[Laskennallinen opettajaresurssi 2029-2030]]-Taulukko11840[[#This Row],[Todellinen päätoimisten opettajien määrä]]</f>
        <v>-0.59154929577464777</v>
      </c>
      <c r="H12" s="107">
        <v>0</v>
      </c>
      <c r="I12" s="104"/>
      <c r="J12" s="71">
        <f>'Väestöennuste alueittain'!N21</f>
        <v>10</v>
      </c>
      <c r="K12" s="122">
        <f>Taulukko11840[[#This Row],[Alueen lasten määrä v. 2035]]/$C$3</f>
        <v>0.70422535211267612</v>
      </c>
      <c r="L12" s="320">
        <f>Taulukko11840[[#This Row],[Laskennallisesti opettajia v. 2035]]-Taulukko11840[[#This Row],[Todellinen päätoimisten opettajien määrä]]</f>
        <v>-1.295774647887324</v>
      </c>
      <c r="M12" s="107"/>
      <c r="N12" s="228"/>
    </row>
    <row r="13" spans="1:20" x14ac:dyDescent="0.25">
      <c r="A13" s="15" t="s">
        <v>53</v>
      </c>
      <c r="B13" s="126">
        <v>270</v>
      </c>
      <c r="C13" s="129">
        <v>21</v>
      </c>
      <c r="D13" s="129">
        <f>Taulukko11840[[#This Row],[Oppilasmäärä lv.  2024-2025]]/Taulukko11840[[#This Row],[Todellinen päätoimisten opettajien määrä]]</f>
        <v>12.857142857142858</v>
      </c>
      <c r="E13" s="126">
        <f>'Väestöennuste alueittain'!I28+'Väestöennuste alueittain'!I49</f>
        <v>190</v>
      </c>
      <c r="F13" s="165">
        <f>Taulukko11840[[#This Row],[Alueen  lapsimäärä lv. 2029-2030]]/$C$3</f>
        <v>13.380281690140846</v>
      </c>
      <c r="G13" s="346">
        <f>Taulukko11840[[#This Row],[Laskennallinen opettajaresurssi 2029-2030]]-Taulukko11840[[#This Row],[Todellinen päätoimisten opettajien määrä]]</f>
        <v>-7.6197183098591541</v>
      </c>
      <c r="H13" s="107">
        <f>H14+H15</f>
        <v>295</v>
      </c>
      <c r="I13" s="104">
        <f>Taulukko11840[[#This Row],[Koulun uusi oppilasmäärä]]/$C$3</f>
        <v>20.774647887323944</v>
      </c>
      <c r="J13" s="71">
        <f>J14+J15</f>
        <v>170</v>
      </c>
      <c r="K13" s="122">
        <f>Taulukko11840[[#This Row],[Alueen lasten määrä v. 2035]]/$C$3</f>
        <v>11.971830985915494</v>
      </c>
      <c r="L13" s="320">
        <f>Taulukko11840[[#This Row],[Laskennallisesti opettajia v. 2035]]-Taulukko11840[[#This Row],[Todellinen päätoimisten opettajien määrä]]</f>
        <v>-9.0281690140845061</v>
      </c>
      <c r="M13" s="107">
        <f>M14+M15</f>
        <v>250</v>
      </c>
      <c r="N13" s="228">
        <f>Taulukko11840[[#This Row],[Koulun uusi oppilasmäärä 2035]]/$C$3</f>
        <v>17.605633802816904</v>
      </c>
    </row>
    <row r="14" spans="1:20" x14ac:dyDescent="0.25">
      <c r="A14" s="75" t="s">
        <v>91</v>
      </c>
      <c r="B14" s="136">
        <v>172</v>
      </c>
      <c r="C14" s="158"/>
      <c r="D14" s="158"/>
      <c r="E14" s="136">
        <f>E13-E15</f>
        <v>110</v>
      </c>
      <c r="F14" s="166">
        <f>Taulukko11840[[#This Row],[Alueen  lapsimäärä lv. 2029-2030]]/$C$3</f>
        <v>7.746478873239437</v>
      </c>
      <c r="G14" s="347">
        <f>Taulukko11840[[#This Row],[Laskennallinen opettajaresurssi 2029-2030]]-Taulukko11840[[#This Row],[Todellinen päätoimisten opettajien määrä]]</f>
        <v>7.746478873239437</v>
      </c>
      <c r="H14" s="110">
        <f>Taulukko11840[[#This Row],[Alueen  lapsimäärä lv. 2029-2030]]+(E7/2)</f>
        <v>130</v>
      </c>
      <c r="I14" s="104">
        <f>Taulukko11840[[#This Row],[Koulun uusi oppilasmäärä]]/$C$3</f>
        <v>9.1549295774647899</v>
      </c>
      <c r="J14" s="71">
        <f>'Väestöennuste alueittain'!N28</f>
        <v>110</v>
      </c>
      <c r="K14" s="122">
        <f>Taulukko11840[[#This Row],[Alueen lasten määrä v. 2035]]/$C$3</f>
        <v>7.746478873239437</v>
      </c>
      <c r="L14" s="320">
        <f>Taulukko11840[[#This Row],[Laskennallisesti opettajia v. 2035]]-Taulukko11840[[#This Row],[Todellinen päätoimisten opettajien määrä]]</f>
        <v>7.746478873239437</v>
      </c>
      <c r="M14" s="110">
        <f>(J7/2)+Taulukko11840[[#This Row],[Alueen lasten määrä v. 2035]]</f>
        <v>130</v>
      </c>
      <c r="N14" s="228">
        <f>Taulukko11840[[#This Row],[Koulun uusi oppilasmäärä 2035]]/$C$3</f>
        <v>9.1549295774647899</v>
      </c>
    </row>
    <row r="15" spans="1:20" s="7" customFormat="1" ht="14.45" customHeight="1" x14ac:dyDescent="0.25">
      <c r="A15" s="76" t="s">
        <v>55</v>
      </c>
      <c r="B15" s="137">
        <v>98</v>
      </c>
      <c r="C15" s="159"/>
      <c r="D15" s="159"/>
      <c r="E15" s="137">
        <f>'Väestöennuste alueittain'!I49</f>
        <v>80</v>
      </c>
      <c r="F15" s="164">
        <f>Taulukko11840[[#This Row],[Alueen  lapsimäärä lv. 2029-2030]]/$D$3</f>
        <v>3.4782608695652173</v>
      </c>
      <c r="G15" s="349">
        <f>Taulukko11840[[#This Row],[Laskennallinen opettajaresurssi 2029-2030]]-Taulukko11840[[#This Row],[Todellinen päätoimisten opettajien määrä]]</f>
        <v>3.4782608695652173</v>
      </c>
      <c r="H15" s="109">
        <f>Taulukko11840[[#This Row],[Alueen  lapsimäärä lv. 2029-2030]]+(E5/2)+E19</f>
        <v>165</v>
      </c>
      <c r="I15" s="115">
        <f>Taulukko11840[[#This Row],[Koulun uusi oppilasmäärä]]/D3</f>
        <v>7.1739130434782608</v>
      </c>
      <c r="J15" s="84">
        <f>'Väestöennuste alueittain'!N49</f>
        <v>60</v>
      </c>
      <c r="K15" s="197">
        <f>Taulukko11840[[#This Row],[Alueen lasten määrä v. 2035]]/D3</f>
        <v>2.6086956521739131</v>
      </c>
      <c r="L15" s="321">
        <f>Taulukko11840[[#This Row],[Laskennallisesti opettajia v. 2035]]-Taulukko11840[[#This Row],[Todellinen päätoimisten opettajien määrä]]</f>
        <v>2.6086956521739131</v>
      </c>
      <c r="M15" s="109">
        <f>(J5/2)+J19+Taulukko11840[[#This Row],[Alueen lasten määrä v. 2035]]</f>
        <v>120</v>
      </c>
      <c r="N15" s="229">
        <f>Taulukko11840[[#This Row],[Koulun uusi oppilasmäärä 2035]]/D3</f>
        <v>5.2173913043478262</v>
      </c>
    </row>
    <row r="16" spans="1:20" ht="14.45" customHeight="1" x14ac:dyDescent="0.25">
      <c r="A16" s="17" t="s">
        <v>52</v>
      </c>
      <c r="B16" s="126"/>
      <c r="C16" s="129"/>
      <c r="D16" s="129"/>
      <c r="E16" s="126"/>
      <c r="F16" s="129"/>
      <c r="G16" s="333"/>
      <c r="H16" s="107">
        <v>0</v>
      </c>
      <c r="I16" s="104"/>
      <c r="J16" s="71"/>
      <c r="K16" s="122"/>
      <c r="L16" s="320"/>
      <c r="M16" s="107"/>
      <c r="N16" s="228"/>
    </row>
    <row r="17" spans="1:14" x14ac:dyDescent="0.25">
      <c r="A17" s="18" t="s">
        <v>56</v>
      </c>
      <c r="B17" s="126">
        <v>134</v>
      </c>
      <c r="C17" s="129">
        <v>9</v>
      </c>
      <c r="D17" s="129">
        <f>Taulukko11840[[#This Row],[Oppilasmäärä lv.  2024-2025]]/Taulukko11840[[#This Row],[Todellinen päätoimisten opettajien määrä]]</f>
        <v>14.888888888888889</v>
      </c>
      <c r="E17" s="126">
        <f>'Väestöennuste alueittain'!I33+'Väestöennuste alueittain'!I50</f>
        <v>100</v>
      </c>
      <c r="F17" s="129">
        <f>Taulukko11840[[#This Row],[Alueen  lapsimäärä lv. 2029-2030]]/$C$3</f>
        <v>7.042253521126761</v>
      </c>
      <c r="G17" s="333">
        <f>Taulukko11840[[#This Row],[Laskennallinen opettajaresurssi 2029-2030]]-Taulukko11840[[#This Row],[Todellinen päätoimisten opettajien määrä]]</f>
        <v>-1.957746478873239</v>
      </c>
      <c r="H17" s="107">
        <f>H18+H19</f>
        <v>60</v>
      </c>
      <c r="I17" s="104">
        <f>Taulukko11840[[#This Row],[Koulun uusi oppilasmäärä]]/$C$3</f>
        <v>4.2253521126760569</v>
      </c>
      <c r="J17" s="71">
        <f>J18+J19</f>
        <v>90</v>
      </c>
      <c r="K17" s="122">
        <f>Taulukko11840[[#This Row],[Alueen lasten määrä v. 2035]]/$C$3</f>
        <v>6.3380281690140849</v>
      </c>
      <c r="L17" s="320">
        <f>Taulukko11840[[#This Row],[Laskennallisesti opettajia v. 2035]]-Taulukko11840[[#This Row],[Todellinen päätoimisten opettajien määrä]]</f>
        <v>-2.6619718309859151</v>
      </c>
      <c r="M17" s="107">
        <f>M18+M19</f>
        <v>60</v>
      </c>
      <c r="N17" s="228">
        <f>Taulukko11840[[#This Row],[Koulun uusi oppilasmäärä 2035]]/$C$3</f>
        <v>4.2253521126760569</v>
      </c>
    </row>
    <row r="18" spans="1:14" x14ac:dyDescent="0.25">
      <c r="A18" s="78" t="s">
        <v>91</v>
      </c>
      <c r="B18" s="136">
        <v>83</v>
      </c>
      <c r="C18" s="158"/>
      <c r="D18" s="158"/>
      <c r="E18" s="136">
        <f>E17-E19</f>
        <v>60</v>
      </c>
      <c r="F18" s="167">
        <f>Taulukko11840[[#This Row],[Alueen  lapsimäärä lv. 2029-2030]]/$C$3</f>
        <v>4.2253521126760569</v>
      </c>
      <c r="G18" s="350">
        <f>Taulukko11840[[#This Row],[Laskennallinen opettajaresurssi 2029-2030]]-Taulukko11840[[#This Row],[Todellinen päätoimisten opettajien määrä]]</f>
        <v>4.2253521126760569</v>
      </c>
      <c r="H18" s="110">
        <f>Taulukko11840[[#This Row],[Alueen  lapsimäärä lv. 2029-2030]]</f>
        <v>60</v>
      </c>
      <c r="I18" s="104">
        <f>Taulukko11840[[#This Row],[Koulun uusi oppilasmäärä]]/$C$3</f>
        <v>4.2253521126760569</v>
      </c>
      <c r="J18" s="85">
        <f>'Väestöennuste alueittain'!N33</f>
        <v>60</v>
      </c>
      <c r="K18" s="122">
        <f>Taulukko11840[[#This Row],[Alueen lasten määrä v. 2035]]/$C$3</f>
        <v>4.2253521126760569</v>
      </c>
      <c r="L18" s="320">
        <f>Taulukko11840[[#This Row],[Laskennallisesti opettajia v. 2035]]-Taulukko11840[[#This Row],[Todellinen päätoimisten opettajien määrä]]</f>
        <v>4.2253521126760569</v>
      </c>
      <c r="M18" s="110">
        <f>Taulukko11840[[#This Row],[Alueen lasten määrä v. 2035]]</f>
        <v>60</v>
      </c>
      <c r="N18" s="236">
        <f>Taulukko11840[[#This Row],[Koulun uusi oppilasmäärä 2035]]/$C$3</f>
        <v>4.2253521126760569</v>
      </c>
    </row>
    <row r="19" spans="1:14" s="7" customFormat="1" ht="15.75" thickBot="1" x14ac:dyDescent="0.3">
      <c r="A19" s="79" t="s">
        <v>55</v>
      </c>
      <c r="B19" s="138">
        <v>51</v>
      </c>
      <c r="C19" s="160"/>
      <c r="D19" s="160"/>
      <c r="E19" s="138">
        <f>'Väestöennuste alueittain'!I50</f>
        <v>40</v>
      </c>
      <c r="F19" s="381">
        <f>Taulukko11840[[#This Row],[Alueen  lapsimäärä lv. 2029-2030]]/$D$3</f>
        <v>1.7391304347826086</v>
      </c>
      <c r="G19" s="351">
        <f>Taulukko11840[[#This Row],[Laskennallinen opettajaresurssi 2029-2030]]-Taulukko11840[[#This Row],[Todellinen päätoimisten opettajien määrä]]</f>
        <v>1.7391304347826086</v>
      </c>
      <c r="H19" s="111"/>
      <c r="I19" s="169"/>
      <c r="J19" s="86">
        <f>'Väestöennuste alueittain'!N50</f>
        <v>30</v>
      </c>
      <c r="K19" s="208">
        <f>Taulukko11840[[#This Row],[Alueen lasten määrä v. 2035]]/D3</f>
        <v>1.3043478260869565</v>
      </c>
      <c r="L19" s="364">
        <f>Taulukko11840[[#This Row],[Laskennallisesti opettajia v. 2035]]-Taulukko11840[[#This Row],[Todellinen päätoimisten opettajien määrä]]</f>
        <v>1.3043478260869565</v>
      </c>
      <c r="M19" s="111"/>
      <c r="N19" s="237"/>
    </row>
    <row r="20" spans="1:14" ht="15.75" thickTop="1" x14ac:dyDescent="0.25">
      <c r="A20" s="19" t="s">
        <v>54</v>
      </c>
      <c r="B20" s="139">
        <f>SUM(B5:B19)-B9-B10-B14-B15-B18-B19</f>
        <v>1195</v>
      </c>
      <c r="C20" s="161">
        <f>SUM(C5:C19)</f>
        <v>93.6</v>
      </c>
      <c r="D20" s="161">
        <f>Taulukko11840[[#This Row],[Oppilasmäärä lv.  2024-2025]]/Taulukko11840[[#This Row],[Todellinen päätoimisten opettajien määrä]]</f>
        <v>12.767094017094017</v>
      </c>
      <c r="E20" s="139">
        <f>SUM(E5:E19)-E9-E10-E14-E15-E18-E19</f>
        <v>800</v>
      </c>
      <c r="F20" s="161">
        <f>Taulukko11840[[#This Row],[Alueen  lapsimäärä lv. 2029-2030]]/$C$3</f>
        <v>56.338028169014088</v>
      </c>
      <c r="G20" s="342">
        <f>Taulukko11840[[#This Row],[Laskennallinen opettajaresurssi 2029-2030]]-Taulukko11840[[#This Row],[Todellinen päätoimisten opettajien määrä]]</f>
        <v>-37.261971830985907</v>
      </c>
      <c r="H20" s="112">
        <f>SUM(H5:H19)-H9-H10-H14-H15-H18-H19</f>
        <v>800</v>
      </c>
      <c r="I20" s="212">
        <f>I6+I8+I13+I18</f>
        <v>56.338028169014088</v>
      </c>
      <c r="J20" s="87">
        <f>SUM(J5:J19)-J9-J10-J14-J15-J18-J19</f>
        <v>720</v>
      </c>
      <c r="K20" s="199">
        <f>Taulukko11840[[#This Row],[Alueen lasten määrä v. 2035]]/$C$3</f>
        <v>50.70422535211268</v>
      </c>
      <c r="L20" s="324">
        <f>Taulukko11840[[#This Row],[Laskennallisesti opettajia v. 2035]]-Taulukko11840[[#This Row],[Todellinen päätoimisten opettajien määrä]]</f>
        <v>-42.895774647887315</v>
      </c>
      <c r="M20" s="112">
        <f>SUM(M5:M19)-M9-M10-M14-M15-M18-M19</f>
        <v>720</v>
      </c>
      <c r="N20" s="238">
        <f>Taulukko11840[[#This Row],[Koulun uusi oppilasmäärä 2035]]/$C$3</f>
        <v>50.70422535211268</v>
      </c>
    </row>
    <row r="21" spans="1:14" x14ac:dyDescent="0.25">
      <c r="A21" s="20" t="s">
        <v>91</v>
      </c>
      <c r="B21" s="140">
        <f>B20-B22</f>
        <v>747</v>
      </c>
      <c r="C21" s="162"/>
      <c r="D21" s="162"/>
      <c r="E21" s="140">
        <f>E20-E22</f>
        <v>470</v>
      </c>
      <c r="F21" s="162">
        <f>Taulukko11840[[#This Row],[Alueen  lapsimäärä lv. 2029-2030]]/$C$3</f>
        <v>33.098591549295776</v>
      </c>
      <c r="G21" s="352">
        <f>Taulukko11840[[#This Row],[Laskennallinen opettajaresurssi 2029-2030]]-Taulukko11840[[#This Row],[Todellinen päätoimisten opettajien määrä]]</f>
        <v>33.098591549295776</v>
      </c>
      <c r="H21" s="113">
        <f>H6+H9+H14+H17</f>
        <v>470</v>
      </c>
      <c r="I21" s="354">
        <f>I6+I9+I14+I17</f>
        <v>33.098591549295776</v>
      </c>
      <c r="J21" s="67">
        <f>J20-J22</f>
        <v>480</v>
      </c>
      <c r="K21" s="200">
        <f>Taulukko11840[[#This Row],[Alueen lasten määrä v. 2035]]/$C$3</f>
        <v>33.802816901408455</v>
      </c>
      <c r="L21" s="325">
        <f>Taulukko11840[[#This Row],[Laskennallisesti opettajia v. 2035]]-Taulukko11840[[#This Row],[Todellinen päätoimisten opettajien määrä]]</f>
        <v>33.802816901408455</v>
      </c>
      <c r="M21" s="113">
        <f>M6+M9+M14+M17</f>
        <v>480</v>
      </c>
      <c r="N21" s="238">
        <f>Taulukko11840[[#This Row],[Koulun uusi oppilasmäärä 2035]]/$C$3</f>
        <v>33.802816901408455</v>
      </c>
    </row>
    <row r="22" spans="1:14" s="7" customFormat="1" x14ac:dyDescent="0.25">
      <c r="A22" s="21" t="s">
        <v>55</v>
      </c>
      <c r="B22" s="141">
        <f>B5+B10+B15+B19</f>
        <v>448</v>
      </c>
      <c r="C22" s="163"/>
      <c r="D22" s="163"/>
      <c r="E22" s="141">
        <f>E5+E10+E15+E19</f>
        <v>330</v>
      </c>
      <c r="F22" s="163">
        <f>F5+F10+F15+F19</f>
        <v>14.347826086956522</v>
      </c>
      <c r="G22" s="353">
        <f>Taulukko11840[[#This Row],[Laskennallinen opettajaresurssi 2029-2030]]-Taulukko11840[[#This Row],[Todellinen päätoimisten opettajien määrä]]</f>
        <v>14.347826086956522</v>
      </c>
      <c r="H22" s="114">
        <f>H5+H10+H15+H19</f>
        <v>330</v>
      </c>
      <c r="I22" s="355">
        <f>I5+I10+I15+I19</f>
        <v>14.347826086956522</v>
      </c>
      <c r="J22" s="88">
        <f>J5+J10+J15+J19</f>
        <v>240</v>
      </c>
      <c r="K22" s="201">
        <f>K19+K15+K10+K5</f>
        <v>10.434782608695652</v>
      </c>
      <c r="L22" s="365">
        <f>Taulukko11840[[#This Row],[Laskennallisesti opettajia v. 2035]]-Taulukko11840[[#This Row],[Todellinen päätoimisten opettajien määrä]]</f>
        <v>10.434782608695652</v>
      </c>
      <c r="M22" s="114">
        <f>M5+M10+M15+M19</f>
        <v>240</v>
      </c>
      <c r="N22" s="239">
        <f>Taulukko11840[[#This Row],[Koulun uusi oppilasmäärä 2035]]/$C$3</f>
        <v>16.901408450704228</v>
      </c>
    </row>
    <row r="24" spans="1:14" ht="90" x14ac:dyDescent="0.25">
      <c r="A24" s="29" t="s">
        <v>57</v>
      </c>
      <c r="B24" s="5" t="s">
        <v>99</v>
      </c>
      <c r="C24" s="5" t="s">
        <v>113</v>
      </c>
      <c r="D24" s="5" t="s">
        <v>119</v>
      </c>
      <c r="E24" s="5" t="s">
        <v>103</v>
      </c>
      <c r="F24" s="5" t="s">
        <v>114</v>
      </c>
      <c r="G24" s="9" t="s">
        <v>96</v>
      </c>
      <c r="H24" s="5" t="s">
        <v>95</v>
      </c>
      <c r="I24" s="9" t="s">
        <v>120</v>
      </c>
      <c r="J24" s="244" t="s">
        <v>108</v>
      </c>
      <c r="K24" s="245" t="s">
        <v>107</v>
      </c>
      <c r="L24" s="245" t="s">
        <v>106</v>
      </c>
      <c r="M24" s="245" t="s">
        <v>109</v>
      </c>
      <c r="N24" s="247" t="s">
        <v>121</v>
      </c>
    </row>
    <row r="25" spans="1:14" x14ac:dyDescent="0.25">
      <c r="A25" s="18" t="s">
        <v>101</v>
      </c>
      <c r="B25" s="126">
        <v>208</v>
      </c>
      <c r="C25" s="129">
        <v>16</v>
      </c>
      <c r="D25" s="129">
        <f>Taulukko131941[[#This Row],[Oppilasmäärä lv.  2024-2025]]/Taulukko131941[[#This Row],[Todellinen päätoimisten opettajien määrä]]</f>
        <v>13</v>
      </c>
      <c r="E25" s="126">
        <f>'Väestöennuste alueittain'!I9+'Väestöennuste alueittain'!I30+'Väestöennuste alueittain'!I42</f>
        <v>200</v>
      </c>
      <c r="F25" s="129">
        <f>Taulukko131941[[#This Row],[Alueen  lapsimäärä lv. 2029-2030]]/$C$3</f>
        <v>14.084507042253522</v>
      </c>
      <c r="G25" s="333">
        <f>Taulukko131941[[#This Row],[Laskennallinen opettajaresurssi 2029-2030]]-Taulukko131941[[#This Row],[Todellinen päätoimisten opettajien määrä]]</f>
        <v>-1.9154929577464781</v>
      </c>
      <c r="H25" s="107">
        <f>H26+H27</f>
        <v>271.26666666666671</v>
      </c>
      <c r="I25" s="104">
        <f>Taulukko131941[[#This Row],[Koulun uusi oppilasmäärä]]/$C$3</f>
        <v>19.103286384976531</v>
      </c>
      <c r="J25" s="71">
        <f>J26+J27</f>
        <v>200</v>
      </c>
      <c r="K25" s="122">
        <f>Taulukko131941[[#This Row],[Alueen lasten määrä v. 2035]]/$C$3</f>
        <v>14.084507042253522</v>
      </c>
      <c r="L25" s="320">
        <f>Taulukko131941[[#This Row],[Laskennallisesti opettajia v. 2035]]-Taulukko131941[[#This Row],[Todellinen päätoimisten opettajien määrä]]</f>
        <v>-1.9154929577464781</v>
      </c>
      <c r="M25" s="107">
        <f>M26+M27</f>
        <v>267.76666666666665</v>
      </c>
      <c r="N25" s="228">
        <f>Taulukko131941[[#This Row],[Koulun uusi oppilasmäärä 2035]]/$C$3</f>
        <v>18.856807511737088</v>
      </c>
    </row>
    <row r="26" spans="1:14" x14ac:dyDescent="0.25">
      <c r="A26" s="18" t="s">
        <v>92</v>
      </c>
      <c r="B26" s="126">
        <v>128</v>
      </c>
      <c r="C26" s="129"/>
      <c r="D26" s="129"/>
      <c r="E26" s="126">
        <f>E25-E27</f>
        <v>110</v>
      </c>
      <c r="F26" s="129">
        <f>Taulukko131941[[#This Row],[Alueen  lapsimäärä lv. 2029-2030]]/$C$3</f>
        <v>7.746478873239437</v>
      </c>
      <c r="G26" s="333">
        <f>Taulukko131941[[#This Row],[Laskennallinen opettajaresurssi 2029-2030]]-Taulukko131941[[#This Row],[Todellinen päätoimisten opettajien määrä]]</f>
        <v>7.746478873239437</v>
      </c>
      <c r="H26" s="107">
        <f>Taulukko131941[[#This Row],[Alueen  lapsimäärä lv. 2029-2030]]+(E29/3)</f>
        <v>126.66666666666667</v>
      </c>
      <c r="I26" s="104">
        <f>Taulukko131941[[#This Row],[Koulun uusi oppilasmäärä]]/$C$3</f>
        <v>8.92018779342723</v>
      </c>
      <c r="J26" s="71">
        <f>'Väestöennuste alueittain'!N9+'Väestöennuste alueittain'!N30</f>
        <v>110</v>
      </c>
      <c r="K26" s="122">
        <f>Taulukko131941[[#This Row],[Alueen lasten määrä v. 2035]]/$C$3</f>
        <v>7.746478873239437</v>
      </c>
      <c r="L26" s="320">
        <f>Taulukko131941[[#This Row],[Laskennallisesti opettajia v. 2035]]-Taulukko131941[[#This Row],[Todellinen päätoimisten opettajien määrä]]</f>
        <v>7.746478873239437</v>
      </c>
      <c r="M26" s="107">
        <f>(J29/3)+Taulukko131941[[#This Row],[Alueen lasten määrä v. 2035]]</f>
        <v>126.66666666666667</v>
      </c>
      <c r="N26" s="228">
        <f>Taulukko131941[[#This Row],[Koulun uusi oppilasmäärä 2035]]/$C$3</f>
        <v>8.92018779342723</v>
      </c>
    </row>
    <row r="27" spans="1:14" ht="13.15" customHeight="1" x14ac:dyDescent="0.25">
      <c r="A27" s="74" t="s">
        <v>55</v>
      </c>
      <c r="B27" s="127">
        <v>80</v>
      </c>
      <c r="C27" s="130"/>
      <c r="D27" s="130"/>
      <c r="E27" s="127">
        <f>'Väestöennuste alueittain'!I42</f>
        <v>90</v>
      </c>
      <c r="F27" s="164">
        <f>Taulukko131941[[#This Row],[Alueen  lapsimäärä lv. 2029-2030]]/D3</f>
        <v>3.9130434782608696</v>
      </c>
      <c r="G27" s="340">
        <f>Taulukko131941[[#This Row],[Laskennallinen opettajaresurssi 2029-2030]]-Taulukko131941[[#This Row],[Todellinen päätoimisten opettajien määrä]]</f>
        <v>3.9130434782608696</v>
      </c>
      <c r="H27" s="109">
        <f>Taulukko131941[[#This Row],[Alueen  lapsimäärä lv. 2029-2030]]+(E69*0.07)</f>
        <v>144.60000000000002</v>
      </c>
      <c r="I27" s="115">
        <f>Taulukko131941[[#This Row],[Koulun uusi oppilasmäärä]]/D3</f>
        <v>6.286956521739131</v>
      </c>
      <c r="J27" s="84">
        <f>'Väestöennuste alueittain'!N42</f>
        <v>90</v>
      </c>
      <c r="K27" s="197">
        <f>Taulukko131941[[#This Row],[Alueen lasten määrä v. 2035]]/D3</f>
        <v>3.9130434782608696</v>
      </c>
      <c r="L27" s="321">
        <f>Taulukko131941[[#This Row],[Laskennallisesti opettajia v. 2035]]-Taulukko131941[[#This Row],[Todellinen päätoimisten opettajien määrä]]</f>
        <v>3.9130434782608696</v>
      </c>
      <c r="M27" s="109">
        <f>Taulukko131941[[#This Row],[Alueen  lapsimäärä lv. 2029-2030]]+(J69*0.07)</f>
        <v>141.1</v>
      </c>
      <c r="N27" s="229">
        <f>Taulukko131941[[#This Row],[Koulun uusi oppilasmäärä 2035]]/D3</f>
        <v>6.1347826086956516</v>
      </c>
    </row>
    <row r="28" spans="1:14" x14ac:dyDescent="0.25">
      <c r="A28" s="18" t="s">
        <v>59</v>
      </c>
      <c r="B28" s="126">
        <v>119</v>
      </c>
      <c r="C28" s="129">
        <v>7</v>
      </c>
      <c r="D28" s="129">
        <f>Taulukko131941[[#This Row],[Oppilasmäärä lv.  2024-2025]]/Taulukko131941[[#This Row],[Todellinen päätoimisten opettajien määrä]]</f>
        <v>17</v>
      </c>
      <c r="E28" s="126">
        <f>'Väestöennuste alueittain'!I11</f>
        <v>130</v>
      </c>
      <c r="F28" s="129">
        <f>Taulukko131941[[#This Row],[Alueen  lapsimäärä lv. 2029-2030]]/$C$3</f>
        <v>9.1549295774647899</v>
      </c>
      <c r="G28" s="333">
        <f>Taulukko131941[[#This Row],[Laskennallinen opettajaresurssi 2029-2030]]-Taulukko131941[[#This Row],[Todellinen päätoimisten opettajien määrä]]</f>
        <v>2.1549295774647899</v>
      </c>
      <c r="H28" s="107">
        <f>Taulukko131941[[#This Row],[Alueen  lapsimäärä lv. 2029-2030]]+(E29/3)+(E31/2)</f>
        <v>201.66666666666666</v>
      </c>
      <c r="I28" s="104">
        <f>Taulukko131941[[#This Row],[Koulun uusi oppilasmäärä]]/$C$3</f>
        <v>14.2018779342723</v>
      </c>
      <c r="J28" s="71">
        <f>'Väestöennuste alueittain'!N11</f>
        <v>130</v>
      </c>
      <c r="K28" s="122">
        <f>Taulukko131941[[#This Row],[Alueen lasten määrä v. 2035]]/$C$3</f>
        <v>9.1549295774647899</v>
      </c>
      <c r="L28" s="320">
        <f>Taulukko131941[[#This Row],[Laskennallisesti opettajia v. 2035]]-Taulukko131941[[#This Row],[Todellinen päätoimisten opettajien määrä]]</f>
        <v>2.1549295774647899</v>
      </c>
      <c r="M28" s="107">
        <f>(J29/3)+(J31/2)+Taulukko131941[[#This Row],[Alueen lasten määrä v. 2035]]</f>
        <v>201.66666666666669</v>
      </c>
      <c r="N28" s="228">
        <f>Taulukko131941[[#This Row],[Koulun uusi oppilasmäärä 2035]]/$C$3</f>
        <v>14.201877934272302</v>
      </c>
    </row>
    <row r="29" spans="1:14" x14ac:dyDescent="0.25">
      <c r="A29" s="18" t="s">
        <v>61</v>
      </c>
      <c r="B29" s="126">
        <v>122</v>
      </c>
      <c r="C29" s="129">
        <v>8</v>
      </c>
      <c r="D29" s="129">
        <f>Taulukko131941[[#This Row],[Oppilasmäärä lv.  2024-2025]]/Taulukko131941[[#This Row],[Todellinen päätoimisten opettajien määrä]]</f>
        <v>15.25</v>
      </c>
      <c r="E29" s="129">
        <f>'Väestöennuste alueittain'!I22</f>
        <v>50</v>
      </c>
      <c r="F29" s="129">
        <f>Taulukko131941[[#This Row],[Alueen  lapsimäärä lv. 2029-2030]]/$C$3</f>
        <v>3.5211267605633805</v>
      </c>
      <c r="G29" s="333">
        <f>Taulukko131941[[#This Row],[Laskennallinen opettajaresurssi 2029-2030]]-Taulukko131941[[#This Row],[Todellinen päätoimisten opettajien määrä]]</f>
        <v>-4.47887323943662</v>
      </c>
      <c r="H29" s="107">
        <v>0</v>
      </c>
      <c r="I29" s="104"/>
      <c r="J29" s="71">
        <f>'Väestöennuste alueittain'!N22</f>
        <v>50</v>
      </c>
      <c r="K29" s="122">
        <f>Taulukko131941[[#This Row],[Alueen lasten määrä v. 2035]]/$C$3</f>
        <v>3.5211267605633805</v>
      </c>
      <c r="L29" s="320">
        <f>Taulukko131941[[#This Row],[Laskennallisesti opettajia v. 2035]]-Taulukko131941[[#This Row],[Todellinen päätoimisten opettajien määrä]]</f>
        <v>-4.47887323943662</v>
      </c>
      <c r="M29" s="107"/>
      <c r="N29" s="228"/>
    </row>
    <row r="30" spans="1:14" x14ac:dyDescent="0.25">
      <c r="A30" s="65" t="s">
        <v>62</v>
      </c>
      <c r="B30" s="69"/>
      <c r="C30" s="122">
        <v>1</v>
      </c>
      <c r="D30" s="122">
        <f>Taulukko131941[[#This Row],[Oppilasmäärä lv.  2024-2025]]/Taulukko131941[[#This Row],[Todellinen päätoimisten opettajien määrä]]</f>
        <v>0</v>
      </c>
      <c r="E30" s="69"/>
      <c r="F30" s="122">
        <f>Taulukko131941[[#This Row],[Alueen  lapsimäärä lv. 2029-2030]]/$C$3</f>
        <v>0</v>
      </c>
      <c r="G30" s="333">
        <f>Taulukko131941[[#This Row],[Laskennallinen opettajaresurssi 2029-2030]]-Taulukko131941[[#This Row],[Todellinen päätoimisten opettajien määrä]]</f>
        <v>-1</v>
      </c>
      <c r="H30" s="107">
        <v>0</v>
      </c>
      <c r="I30" s="101"/>
      <c r="J30" s="71"/>
      <c r="K30" s="203">
        <f>Taulukko131941[[#This Row],[Alueen lasten määrä v. 2035]]/$C$3</f>
        <v>0</v>
      </c>
      <c r="L30" s="320">
        <f>Taulukko131941[[#This Row],[Laskennallisesti opettajia v. 2035]]-Taulukko131941[[#This Row],[Todellinen päätoimisten opettajien määrä]]</f>
        <v>-1</v>
      </c>
      <c r="M30" s="107"/>
      <c r="N30" s="104"/>
    </row>
    <row r="31" spans="1:14" x14ac:dyDescent="0.25">
      <c r="A31" s="18" t="s">
        <v>58</v>
      </c>
      <c r="B31" s="126">
        <v>133</v>
      </c>
      <c r="C31" s="129">
        <v>8</v>
      </c>
      <c r="D31" s="129">
        <f>Taulukko131941[[#This Row],[Oppilasmäärä lv.  2024-2025]]/Taulukko131941[[#This Row],[Todellinen päätoimisten opettajien määrä]]</f>
        <v>16.625</v>
      </c>
      <c r="E31" s="126">
        <f>'Väestöennuste alueittain'!I32</f>
        <v>110</v>
      </c>
      <c r="F31" s="129">
        <f>Taulukko131941[[#This Row],[Alueen  lapsimäärä lv. 2029-2030]]/$C$3</f>
        <v>7.746478873239437</v>
      </c>
      <c r="G31" s="333">
        <f>Taulukko131941[[#This Row],[Laskennallinen opettajaresurssi 2029-2030]]-Taulukko131941[[#This Row],[Todellinen päätoimisten opettajien määrä]]</f>
        <v>-0.25352112676056304</v>
      </c>
      <c r="H31" s="107">
        <v>0</v>
      </c>
      <c r="I31" s="104"/>
      <c r="J31" s="71">
        <f>'Väestöennuste alueittain'!N32</f>
        <v>110</v>
      </c>
      <c r="K31" s="122">
        <f>Taulukko131941[[#This Row],[Alueen lasten määrä v. 2035]]/$C$3</f>
        <v>7.746478873239437</v>
      </c>
      <c r="L31" s="320">
        <f>Taulukko131941[[#This Row],[Laskennallisesti opettajia v. 2035]]-Taulukko131941[[#This Row],[Todellinen päätoimisten opettajien määrä]]</f>
        <v>-0.25352112676056304</v>
      </c>
      <c r="M31" s="107"/>
      <c r="N31" s="228"/>
    </row>
    <row r="32" spans="1:14" ht="15.75" thickBot="1" x14ac:dyDescent="0.3">
      <c r="A32" s="27" t="s">
        <v>63</v>
      </c>
      <c r="B32" s="128">
        <v>199</v>
      </c>
      <c r="C32" s="131">
        <v>11</v>
      </c>
      <c r="D32" s="131">
        <f>Taulukko131941[[#This Row],[Oppilasmäärä lv.  2024-2025]]/Taulukko131941[[#This Row],[Todellinen päätoimisten opettajien määrä]]</f>
        <v>18.09090909090909</v>
      </c>
      <c r="E32" s="128">
        <f>'Väestöennuste alueittain'!I34</f>
        <v>160</v>
      </c>
      <c r="F32" s="131">
        <f>Taulukko131941[[#This Row],[Alueen  lapsimäärä lv. 2029-2030]]/$C$3</f>
        <v>11.267605633802818</v>
      </c>
      <c r="G32" s="341">
        <f>Taulukko131941[[#This Row],[Laskennallinen opettajaresurssi 2029-2030]]-Taulukko131941[[#This Row],[Todellinen päätoimisten opettajien määrä]]</f>
        <v>0.26760563380281788</v>
      </c>
      <c r="H32" s="118">
        <f>Taulukko131941[[#This Row],[Alueen  lapsimäärä lv. 2029-2030]]+(E29/3)+(E31/2)</f>
        <v>231.66666666666666</v>
      </c>
      <c r="I32" s="116">
        <f>Taulukko131941[[#This Row],[Koulun uusi oppilasmäärä]]/$C$3</f>
        <v>16.314553990610328</v>
      </c>
      <c r="J32" s="83">
        <f>'Väestöennuste alueittain'!N34</f>
        <v>170</v>
      </c>
      <c r="K32" s="198">
        <f>Taulukko131941[[#This Row],[Alueen lasten määrä v. 2035]]/$C$3</f>
        <v>11.971830985915494</v>
      </c>
      <c r="L32" s="323">
        <f>Taulukko131941[[#This Row],[Laskennallisesti opettajia v. 2035]]-Taulukko131941[[#This Row],[Todellinen päätoimisten opettajien määrä]]</f>
        <v>0.97183098591549388</v>
      </c>
      <c r="M32" s="118">
        <f>(J29/3)+(J31/2)+Taulukko131941[[#This Row],[Alueen lasten määrä v. 2035]]</f>
        <v>241.66666666666669</v>
      </c>
      <c r="N32" s="230">
        <f>Taulukko131941[[#This Row],[Koulun uusi oppilasmäärä 2035]]/$C$3</f>
        <v>17.018779342723008</v>
      </c>
    </row>
    <row r="33" spans="1:14" ht="15.75" thickTop="1" x14ac:dyDescent="0.25">
      <c r="A33" s="66" t="s">
        <v>54</v>
      </c>
      <c r="B33" s="97">
        <f>SUM(B25:B32)-B27-B26</f>
        <v>781</v>
      </c>
      <c r="C33" s="123">
        <f>SUM(C25:C32)</f>
        <v>51</v>
      </c>
      <c r="D33" s="123">
        <f>Taulukko131941[[#This Row],[Oppilasmäärä lv.  2024-2025]]/Taulukko131941[[#This Row],[Todellinen päätoimisten opettajien määrä]]</f>
        <v>15.313725490196079</v>
      </c>
      <c r="E33" s="97">
        <f>SUM(E25:E32)-E27-E26</f>
        <v>650</v>
      </c>
      <c r="F33" s="123">
        <f>Taulukko131941[[#This Row],[Alueen  lapsimäärä lv. 2029-2030]]/$C$3</f>
        <v>45.774647887323944</v>
      </c>
      <c r="G33" s="342">
        <f>Taulukko131941[[#This Row],[Laskennallinen opettajaresurssi 2029-2030]]-Taulukko131941[[#This Row],[Todellinen päätoimisten opettajien määrä]]</f>
        <v>-5.225352112676056</v>
      </c>
      <c r="H33" s="119">
        <f>SUM(H25:H32)-H27-H26</f>
        <v>704.6</v>
      </c>
      <c r="I33" s="189">
        <f>Taulukko131941[[#This Row],[Koulun uusi oppilasmäärä]]/$C$3</f>
        <v>49.619718309859159</v>
      </c>
      <c r="J33" s="67">
        <f>SUM(J25:J32)-J27-J26</f>
        <v>660</v>
      </c>
      <c r="K33" s="199">
        <f>Taulukko131941[[#This Row],[Alueen lasten määrä v. 2035]]/$C$3</f>
        <v>46.478873239436624</v>
      </c>
      <c r="L33" s="324">
        <f>Taulukko131941[[#This Row],[Laskennallisesti opettajia v. 2035]]-Taulukko131941[[#This Row],[Todellinen päätoimisten opettajien määrä]]</f>
        <v>-4.5211267605633765</v>
      </c>
      <c r="M33" s="119">
        <f>SUM(M25:M32)-M27-M26</f>
        <v>711.10000000000014</v>
      </c>
      <c r="N33" s="231">
        <f>Taulukko131941[[#This Row],[Koulun uusi oppilasmäärä 2035]]/$C$3</f>
        <v>50.077464788732406</v>
      </c>
    </row>
    <row r="34" spans="1:14" x14ac:dyDescent="0.25">
      <c r="A34" s="41" t="s">
        <v>91</v>
      </c>
      <c r="B34" s="98">
        <f>B33-B35</f>
        <v>701</v>
      </c>
      <c r="C34" s="124"/>
      <c r="D34" s="124"/>
      <c r="E34" s="98">
        <f>E33-E35</f>
        <v>560</v>
      </c>
      <c r="F34" s="124">
        <f>Taulukko131941[[#This Row],[Alueen  lapsimäärä lv. 2029-2030]]/$C$3</f>
        <v>39.436619718309863</v>
      </c>
      <c r="G34" s="343">
        <f>Taulukko131941[[#This Row],[Laskennallinen opettajaresurssi 2029-2030]]-Taulukko131941[[#This Row],[Todellinen päätoimisten opettajien määrä]]</f>
        <v>39.436619718309863</v>
      </c>
      <c r="H34" s="120">
        <f>H33-H35</f>
        <v>560</v>
      </c>
      <c r="I34" s="190">
        <f>Taulukko131941[[#This Row],[Koulun uusi oppilasmäärä]]/$C$3</f>
        <v>39.436619718309863</v>
      </c>
      <c r="J34" s="268">
        <f>J33-J35</f>
        <v>570</v>
      </c>
      <c r="K34" s="200">
        <f>Taulukko131941[[#This Row],[Alueen lasten määrä v. 2035]]/$C$3</f>
        <v>40.140845070422536</v>
      </c>
      <c r="L34" s="325">
        <f>Taulukko131941[[#This Row],[Laskennallisesti opettajia v. 2035]]-Taulukko131941[[#This Row],[Todellinen päätoimisten opettajien määrä]]</f>
        <v>40.140845070422536</v>
      </c>
      <c r="M34" s="120">
        <f>M33-M35</f>
        <v>570.00000000000011</v>
      </c>
      <c r="N34" s="117">
        <f>Taulukko131941[[#This Row],[Koulun uusi oppilasmäärä 2035]]/$C$3</f>
        <v>40.140845070422543</v>
      </c>
    </row>
    <row r="35" spans="1:14" s="7" customFormat="1" x14ac:dyDescent="0.25">
      <c r="A35" s="43" t="s">
        <v>55</v>
      </c>
      <c r="B35" s="99">
        <f>B27</f>
        <v>80</v>
      </c>
      <c r="C35" s="125"/>
      <c r="D35" s="125"/>
      <c r="E35" s="99">
        <f>E27</f>
        <v>90</v>
      </c>
      <c r="F35" s="125">
        <f>Taulukko131941[[#This Row],[Alueen  lapsimäärä lv. 2029-2030]]/$C$3</f>
        <v>6.3380281690140849</v>
      </c>
      <c r="G35" s="344">
        <f>Taulukko131941[[#This Row],[Laskennallinen opettajaresurssi 2029-2030]]-Taulukko131941[[#This Row],[Todellinen päätoimisten opettajien määrä]]</f>
        <v>6.3380281690140849</v>
      </c>
      <c r="H35" s="121">
        <f>H27</f>
        <v>144.60000000000002</v>
      </c>
      <c r="I35" s="149">
        <f>Taulukko131941[[#This Row],[Koulun uusi oppilasmäärä]]/$C$3</f>
        <v>10.183098591549298</v>
      </c>
      <c r="J35" s="269">
        <f>J27</f>
        <v>90</v>
      </c>
      <c r="K35" s="201">
        <f>K27</f>
        <v>3.9130434782608696</v>
      </c>
      <c r="L35" s="365">
        <f>Taulukko131941[[#This Row],[Laskennallisesti opettajia v. 2035]]-Taulukko131941[[#This Row],[Todellinen päätoimisten opettajien määrä]]</f>
        <v>3.9130434782608696</v>
      </c>
      <c r="M35" s="121">
        <f>M27</f>
        <v>141.1</v>
      </c>
      <c r="N35" s="232">
        <f>N27</f>
        <v>6.1347826086956516</v>
      </c>
    </row>
    <row r="36" spans="1:14" ht="15.6" customHeight="1" x14ac:dyDescent="0.25">
      <c r="A36" s="16"/>
      <c r="B36" s="10"/>
      <c r="C36" s="10"/>
      <c r="D36" s="240"/>
      <c r="E36" s="10"/>
      <c r="F36" s="100"/>
      <c r="G36" s="100"/>
      <c r="H36" s="11"/>
      <c r="I36" s="10"/>
      <c r="J36" s="270"/>
      <c r="K36" s="202"/>
      <c r="L36" s="204"/>
      <c r="M36" s="38"/>
      <c r="N36" s="240"/>
    </row>
    <row r="37" spans="1:14" s="4" customFormat="1" ht="90" x14ac:dyDescent="0.25">
      <c r="A37" s="29" t="s">
        <v>93</v>
      </c>
      <c r="B37" s="5" t="s">
        <v>99</v>
      </c>
      <c r="C37" s="5" t="s">
        <v>113</v>
      </c>
      <c r="D37" s="5" t="s">
        <v>119</v>
      </c>
      <c r="E37" s="5" t="s">
        <v>103</v>
      </c>
      <c r="F37" s="5" t="s">
        <v>114</v>
      </c>
      <c r="G37" s="9" t="s">
        <v>96</v>
      </c>
      <c r="H37" s="5" t="s">
        <v>95</v>
      </c>
      <c r="I37" s="9" t="s">
        <v>120</v>
      </c>
      <c r="J37" s="244" t="s">
        <v>108</v>
      </c>
      <c r="K37" s="245" t="s">
        <v>107</v>
      </c>
      <c r="L37" s="245" t="s">
        <v>106</v>
      </c>
      <c r="M37" s="245" t="s">
        <v>109</v>
      </c>
      <c r="N37" s="247" t="s">
        <v>121</v>
      </c>
    </row>
    <row r="38" spans="1:14" x14ac:dyDescent="0.25">
      <c r="A38" s="15" t="s">
        <v>64</v>
      </c>
      <c r="B38" s="70">
        <v>80</v>
      </c>
      <c r="C38" s="95">
        <v>4</v>
      </c>
      <c r="D38" s="95">
        <f>Taulukko1342042[[#This Row],[Oppilasmäärä lv.  2024-2025]]/Taulukko1342042[[#This Row],[Todellinen päätoimisten opettajien määrä]]</f>
        <v>20</v>
      </c>
      <c r="E38" s="70">
        <f>'Väestöennuste alueittain'!J12</f>
        <v>60</v>
      </c>
      <c r="F38" s="173">
        <f>Taulukko1342042[[#This Row],[Alueen  lapsimäärä lv. 2029-2030]]/$C$3</f>
        <v>4.2253521126760569</v>
      </c>
      <c r="G38" s="334">
        <f>Taulukko1342042[[#This Row],[Laskennallinen opettajaresurssi 2029-2030]]-Taulukko1342042[[#This Row],[Todellinen päätoimisten opettajien määrä]]</f>
        <v>0.22535211267605693</v>
      </c>
      <c r="H38" s="107">
        <v>0</v>
      </c>
      <c r="I38" s="142"/>
      <c r="J38" s="71">
        <f>'Väestöennuste alueittain'!N12</f>
        <v>60</v>
      </c>
      <c r="K38" s="95">
        <f>Taulukko1342042[[#This Row],[Alueen lasten määrä v. 2035]]/$C$3</f>
        <v>4.2253521126760569</v>
      </c>
      <c r="L38" s="333">
        <f>Taulukko1342042[[#This Row],[Laskennallisesti opettajia v. 2035]]-Taulukko1342042[[#This Row],[Todellinen päätoimisten opettajien määrä]]</f>
        <v>0.22535211267605693</v>
      </c>
      <c r="M38" s="35"/>
      <c r="N38" s="101"/>
    </row>
    <row r="39" spans="1:14" x14ac:dyDescent="0.25">
      <c r="A39" s="15" t="s">
        <v>66</v>
      </c>
      <c r="B39" s="70">
        <v>255</v>
      </c>
      <c r="C39" s="95">
        <v>20</v>
      </c>
      <c r="D39" s="95">
        <f>Taulukko1342042[[#This Row],[Oppilasmäärä lv.  2024-2025]]/Taulukko1342042[[#This Row],[Todellinen päätoimisten opettajien määrä]]</f>
        <v>12.75</v>
      </c>
      <c r="E39" s="70">
        <f>'Väestöennuste alueittain'!J14+'Väestöennuste alueittain'!J43</f>
        <v>220</v>
      </c>
      <c r="F39" s="173">
        <f>Taulukko1342042[[#This Row],[Alueen  lapsimäärä lv. 2029-2030]]/$C$3</f>
        <v>15.492957746478874</v>
      </c>
      <c r="G39" s="334">
        <f>Taulukko1342042[[#This Row],[Laskennallinen opettajaresurssi 2029-2030]]-Taulukko1342042[[#This Row],[Todellinen päätoimisten opettajien määrä]]</f>
        <v>-4.5070422535211261</v>
      </c>
      <c r="H39" s="107">
        <f>H40+H41</f>
        <v>310</v>
      </c>
      <c r="I39" s="142">
        <f>Taulukko1342042[[#This Row],[Koulun uusi oppilasmäärä]]/$C$3</f>
        <v>21.83098591549296</v>
      </c>
      <c r="J39" s="71">
        <f>J40+J41</f>
        <v>200</v>
      </c>
      <c r="K39" s="95">
        <f>Taulukko1342042[[#This Row],[Alueen lasten määrä v. 2035]]/$C$3</f>
        <v>14.084507042253522</v>
      </c>
      <c r="L39" s="328">
        <f>Taulukko1342042[[#This Row],[Laskennallisesti opettajia v. 2035]]-Taulukko1342042[[#This Row],[Todellinen päätoimisten opettajien määrä]]</f>
        <v>-5.9154929577464781</v>
      </c>
      <c r="M39" s="107">
        <f>M40+M41</f>
        <v>290</v>
      </c>
      <c r="N39" s="101">
        <f>Taulukko1342042[[#This Row],[Koulun uusi oppilasmäärä 2035]]/$C$3</f>
        <v>20.422535211267608</v>
      </c>
    </row>
    <row r="40" spans="1:14" x14ac:dyDescent="0.25">
      <c r="A40" s="16" t="s">
        <v>92</v>
      </c>
      <c r="B40" s="72">
        <v>128</v>
      </c>
      <c r="C40" s="95"/>
      <c r="D40" s="282"/>
      <c r="E40" s="72">
        <f>E39-E41</f>
        <v>100</v>
      </c>
      <c r="F40" s="173">
        <f>Taulukko1342042[[#This Row],[Alueen  lapsimäärä lv. 2029-2030]]/$C$3</f>
        <v>7.042253521126761</v>
      </c>
      <c r="G40" s="334">
        <f>Taulukko1342042[[#This Row],[Laskennallinen opettajaresurssi 2029-2030]]-Taulukko1342042[[#This Row],[Todellinen päätoimisten opettajien määrä]]</f>
        <v>7.042253521126761</v>
      </c>
      <c r="H40" s="147">
        <f>E38+Taulukko1342042[[#This Row],[Alueen  lapsimäärä lv. 2029-2030]]+E42</f>
        <v>190</v>
      </c>
      <c r="I40" s="142">
        <f>Taulukko1342042[[#This Row],[Koulun uusi oppilasmäärä]]/$C$3</f>
        <v>13.380281690140846</v>
      </c>
      <c r="J40" s="71">
        <f>'Väestöennuste alueittain'!N14</f>
        <v>100</v>
      </c>
      <c r="K40" s="95">
        <f>Taulukko1342042[[#This Row],[Alueen lasten määrä v. 2035]]/$C$3</f>
        <v>7.042253521126761</v>
      </c>
      <c r="L40" s="366">
        <f>Taulukko1342042[[#This Row],[Laskennallisesti opettajia v. 2035]]-Taulukko1342042[[#This Row],[Todellinen päätoimisten opettajien määrä]]</f>
        <v>7.042253521126761</v>
      </c>
      <c r="M40" s="107">
        <f>J38+Taulukko1342042[[#This Row],[Alueen lasten määrä v. 2035]]+J42</f>
        <v>190</v>
      </c>
      <c r="N40" s="101">
        <f>Taulukko1342042[[#This Row],[Koulun uusi oppilasmäärä 2035]]/$C$3</f>
        <v>13.380281690140846</v>
      </c>
    </row>
    <row r="41" spans="1:14" s="7" customFormat="1" x14ac:dyDescent="0.25">
      <c r="A41" s="76" t="s">
        <v>67</v>
      </c>
      <c r="B41" s="77">
        <v>127</v>
      </c>
      <c r="C41" s="94"/>
      <c r="D41" s="283"/>
      <c r="E41" s="77">
        <f>'Väestöennuste alueittain'!J43</f>
        <v>120</v>
      </c>
      <c r="F41" s="174">
        <f>Taulukko1342042[[#This Row],[Alueen  lapsimäärä lv. 2029-2030]]/D3</f>
        <v>5.2173913043478262</v>
      </c>
      <c r="G41" s="335">
        <f>Taulukko1342042[[#This Row],[Laskennallinen opettajaresurssi 2029-2030]]-Taulukko1342042[[#This Row],[Todellinen päätoimisten opettajien määrä]]</f>
        <v>5.2173913043478262</v>
      </c>
      <c r="H41" s="133">
        <f>Taulukko1342042[[#This Row],[Alueen  lapsimäärä lv. 2029-2030]]</f>
        <v>120</v>
      </c>
      <c r="I41" s="146">
        <f>Taulukko1342042[[#This Row],[Koulun uusi oppilasmäärä]]/D3</f>
        <v>5.2173913043478262</v>
      </c>
      <c r="J41" s="84">
        <f>'Väestöennuste alueittain'!N43</f>
        <v>100</v>
      </c>
      <c r="K41" s="94">
        <f>Taulukko1342042[[#This Row],[Alueen lasten määrä v. 2035]]/D3</f>
        <v>4.3478260869565215</v>
      </c>
      <c r="L41" s="367">
        <f>Taulukko1342042[[#This Row],[Laskennallisesti opettajia v. 2035]]-Taulukko1342042[[#This Row],[Todellinen päätoimisten opettajien määrä]]</f>
        <v>4.3478260869565215</v>
      </c>
      <c r="M41" s="132">
        <f>Taulukko1342042[[#This Row],[Alueen lasten määrä v. 2035]]</f>
        <v>100</v>
      </c>
      <c r="N41" s="233">
        <f>Taulukko1342042[[#This Row],[Koulun uusi oppilasmäärä 2035]]/D3</f>
        <v>4.3478260869565215</v>
      </c>
    </row>
    <row r="42" spans="1:14" ht="15.75" thickBot="1" x14ac:dyDescent="0.3">
      <c r="A42" s="24" t="s">
        <v>65</v>
      </c>
      <c r="B42" s="80">
        <v>26</v>
      </c>
      <c r="C42" s="170">
        <v>2</v>
      </c>
      <c r="D42" s="170">
        <f>Taulukko1342042[[#This Row],[Oppilasmäärä lv.  2024-2025]]/Taulukko1342042[[#This Row],[Todellinen päätoimisten opettajien määrä]]</f>
        <v>13</v>
      </c>
      <c r="E42" s="80">
        <f>'Väestöennuste alueittain'!J25</f>
        <v>30</v>
      </c>
      <c r="F42" s="175">
        <f>Taulukko1342042[[#This Row],[Alueen  lapsimäärä lv. 2029-2030]]/$C$3</f>
        <v>2.1126760563380285</v>
      </c>
      <c r="G42" s="336">
        <f>Taulukko1342042[[#This Row],[Laskennallinen opettajaresurssi 2029-2030]]-Taulukko1342042[[#This Row],[Todellinen päätoimisten opettajien määrä]]</f>
        <v>0.11267605633802846</v>
      </c>
      <c r="H42" s="118">
        <v>0</v>
      </c>
      <c r="I42" s="143"/>
      <c r="J42" s="83">
        <f>'Väestöennuste alueittain'!N25</f>
        <v>30</v>
      </c>
      <c r="K42" s="170">
        <f>Taulukko1342042[[#This Row],[Alueen lasten määrä v. 2035]]/$C$3</f>
        <v>2.1126760563380285</v>
      </c>
      <c r="L42" s="368">
        <f>Taulukko1342042[[#This Row],[Laskennallisesti opettajia v. 2035]]-Taulukko1342042[[#This Row],[Todellinen päätoimisten opettajien määrä]]</f>
        <v>0.11267605633802846</v>
      </c>
      <c r="M42" s="118"/>
      <c r="N42" s="234"/>
    </row>
    <row r="43" spans="1:14" ht="15.75" thickTop="1" x14ac:dyDescent="0.25">
      <c r="A43" s="20" t="s">
        <v>54</v>
      </c>
      <c r="B43" s="73">
        <f>SUM(B38:B42)-B41-B40</f>
        <v>361</v>
      </c>
      <c r="C43" s="96">
        <f>SUM(C38:C42)</f>
        <v>26</v>
      </c>
      <c r="D43" s="96">
        <f>Taulukko1342042[[#This Row],[Oppilasmäärä lv.  2024-2025]]/Taulukko1342042[[#This Row],[Todellinen päätoimisten opettajien määrä]]</f>
        <v>13.884615384615385</v>
      </c>
      <c r="E43" s="380">
        <f>SUM(E38:E42)-E41-E40</f>
        <v>310</v>
      </c>
      <c r="F43" s="96">
        <f>SUM(F38:F42)-F41-F40</f>
        <v>21.83098591549296</v>
      </c>
      <c r="G43" s="337">
        <f>Taulukko1342042[[#This Row],[Laskennallinen opettajaresurssi 2029-2030]]-Taulukko1342042[[#This Row],[Todellinen päätoimisten opettajien määrä]]</f>
        <v>-4.1690140845070403</v>
      </c>
      <c r="H43" s="134">
        <f>SUM(H38:H42)-H41-H40</f>
        <v>310</v>
      </c>
      <c r="I43" s="176">
        <f>Taulukko1342042[[#This Row],[Koulun uusi oppilasmäärä]]/$C$3</f>
        <v>21.83098591549296</v>
      </c>
      <c r="J43" s="67">
        <f>SUM(J38:J42)-J40-J41</f>
        <v>290</v>
      </c>
      <c r="K43" s="96">
        <f>Taulukko1342042[[#This Row],[Alueen lasten määrä v. 2035]]/$C$3</f>
        <v>20.422535211267608</v>
      </c>
      <c r="L43" s="369">
        <f>Taulukko1342042[[#This Row],[Laskennallisesti opettajia v. 2035]]-Taulukko1342042[[#This Row],[Todellinen päätoimisten opettajien määrä]]</f>
        <v>-5.5774647887323923</v>
      </c>
      <c r="M43" s="112">
        <f>M40+M41</f>
        <v>290</v>
      </c>
      <c r="N43" s="189">
        <f>Taulukko1342042[[#This Row],[Koulun uusi oppilasmäärä 2035]]/$C$3</f>
        <v>20.422535211267608</v>
      </c>
    </row>
    <row r="44" spans="1:14" x14ac:dyDescent="0.25">
      <c r="A44" s="26" t="s">
        <v>91</v>
      </c>
      <c r="B44" s="81">
        <f>B43-B45</f>
        <v>234</v>
      </c>
      <c r="C44" s="211"/>
      <c r="D44" s="211"/>
      <c r="E44" s="376">
        <f>E43-E45</f>
        <v>190</v>
      </c>
      <c r="F44" s="171">
        <f>F43-F45</f>
        <v>16.613594611145132</v>
      </c>
      <c r="G44" s="338">
        <f>Taulukko1342042[[#This Row],[Laskennallinen opettajaresurssi 2029-2030]]-Taulukko1342042[[#This Row],[Todellinen päätoimisten opettajien määrä]]</f>
        <v>16.613594611145132</v>
      </c>
      <c r="H44" s="144">
        <f>H43-H45</f>
        <v>190</v>
      </c>
      <c r="I44" s="177">
        <f>Taulukko1342042[[#This Row],[Koulun uusi oppilasmäärä]]/$C$3</f>
        <v>13.380281690140846</v>
      </c>
      <c r="J44" s="89">
        <f>J43-J45</f>
        <v>190</v>
      </c>
      <c r="K44" s="211">
        <f>Taulukko1342042[[#This Row],[Alueen lasten määrä v. 2035]]/$C$3</f>
        <v>13.380281690140846</v>
      </c>
      <c r="L44" s="370">
        <f>Taulukko1342042[[#This Row],[Laskennallisesti opettajia v. 2035]]-Taulukko1342042[[#This Row],[Todellinen päätoimisten opettajien määrä]]</f>
        <v>13.380281690140846</v>
      </c>
      <c r="M44" s="113">
        <f>M43-M45</f>
        <v>190</v>
      </c>
      <c r="N44" s="190">
        <f>Taulukko1342042[[#This Row],[Koulun uusi oppilasmäärä 2035]]/$C$3</f>
        <v>13.380281690140846</v>
      </c>
    </row>
    <row r="45" spans="1:14" s="7" customFormat="1" x14ac:dyDescent="0.25">
      <c r="A45" s="31" t="s">
        <v>55</v>
      </c>
      <c r="B45" s="82">
        <f t="shared" ref="B45" si="0">B41</f>
        <v>127</v>
      </c>
      <c r="C45" s="377"/>
      <c r="D45" s="375"/>
      <c r="E45" s="378">
        <f>E41</f>
        <v>120</v>
      </c>
      <c r="F45" s="172">
        <f>F41</f>
        <v>5.2173913043478262</v>
      </c>
      <c r="G45" s="339">
        <f>G41</f>
        <v>5.2173913043478262</v>
      </c>
      <c r="H45" s="145">
        <f>H41</f>
        <v>120</v>
      </c>
      <c r="I45" s="178">
        <f>H45/C3</f>
        <v>8.4507042253521139</v>
      </c>
      <c r="J45" s="90">
        <f>J41</f>
        <v>100</v>
      </c>
      <c r="K45" s="216">
        <f>K41</f>
        <v>4.3478260869565215</v>
      </c>
      <c r="L45" s="326">
        <f>K45-C45</f>
        <v>4.3478260869565215</v>
      </c>
      <c r="M45" s="205">
        <f>M41</f>
        <v>100</v>
      </c>
      <c r="N45" s="149">
        <f>M45/C3</f>
        <v>7.042253521126761</v>
      </c>
    </row>
    <row r="46" spans="1:14" x14ac:dyDescent="0.25">
      <c r="E46" s="32"/>
    </row>
    <row r="47" spans="1:14" ht="90" x14ac:dyDescent="0.25">
      <c r="A47" s="22" t="s">
        <v>100</v>
      </c>
      <c r="B47" s="5" t="s">
        <v>99</v>
      </c>
      <c r="C47" s="5" t="s">
        <v>113</v>
      </c>
      <c r="D47" s="5" t="s">
        <v>119</v>
      </c>
      <c r="E47" s="5" t="s">
        <v>103</v>
      </c>
      <c r="F47" s="5" t="s">
        <v>114</v>
      </c>
      <c r="G47" s="9" t="s">
        <v>96</v>
      </c>
      <c r="H47" s="5" t="s">
        <v>95</v>
      </c>
      <c r="I47" s="9" t="s">
        <v>120</v>
      </c>
      <c r="J47" s="248" t="s">
        <v>108</v>
      </c>
      <c r="K47" s="249" t="s">
        <v>107</v>
      </c>
      <c r="L47" s="249" t="s">
        <v>106</v>
      </c>
      <c r="M47" s="249" t="s">
        <v>109</v>
      </c>
      <c r="N47" s="372" t="s">
        <v>121</v>
      </c>
    </row>
    <row r="48" spans="1:14" ht="15" customHeight="1" x14ac:dyDescent="0.25">
      <c r="A48" s="15" t="s">
        <v>72</v>
      </c>
      <c r="B48" s="152">
        <v>480</v>
      </c>
      <c r="C48" s="179">
        <v>30</v>
      </c>
      <c r="D48" s="179">
        <f>Taulukko152143[[#This Row],[Oppilasmäärä lv.  2024-2025]]/Taulukko152143[[#This Row],[Todellinen päätoimisten opettajien määrä]]</f>
        <v>16</v>
      </c>
      <c r="E48" s="102">
        <f>'Väestöennuste alueittain'!I2</f>
        <v>410</v>
      </c>
      <c r="F48" s="179">
        <f>Taulukko152143[[#This Row],[Alueen  lapsimäärä lv. 2029-2030]]/$C$3</f>
        <v>28.87323943661972</v>
      </c>
      <c r="G48" s="327">
        <f>Taulukko152143[[#This Row],[Laskennallinen opettajaresurssi 2029-2030]]-Taulukko152143[[#This Row],[Todellinen päätoimisten opettajien määrä]]</f>
        <v>-1.1267605633802802</v>
      </c>
      <c r="H48" s="39">
        <f>Taulukko152143[[#This Row],[Alueen  lapsimäärä lv. 2029-2030]]</f>
        <v>410</v>
      </c>
      <c r="I48" s="142">
        <f>Taulukko152143[[#This Row],[Koulun uusi oppilasmäärä]]/$C$3</f>
        <v>28.87323943661972</v>
      </c>
      <c r="J48" s="69">
        <f>'Väestöennuste alueittain'!N2</f>
        <v>390</v>
      </c>
      <c r="K48" s="179">
        <f>J48/$C$3</f>
        <v>27.464788732394368</v>
      </c>
      <c r="L48" s="328">
        <f>K48-Taulukko152143[[#This Row],[Todellinen päätoimisten opettajien määrä]]</f>
        <v>-2.5352112676056322</v>
      </c>
      <c r="M48" s="255">
        <f>J48</f>
        <v>390</v>
      </c>
      <c r="N48" s="258">
        <f>M48/$C$3</f>
        <v>27.464788732394368</v>
      </c>
    </row>
    <row r="49" spans="1:14" ht="14.45" customHeight="1" x14ac:dyDescent="0.25">
      <c r="A49" s="64" t="s">
        <v>60</v>
      </c>
      <c r="B49" s="68">
        <v>375</v>
      </c>
      <c r="C49" s="179">
        <v>22</v>
      </c>
      <c r="D49" s="179">
        <f>Taulukko152143[[#This Row],[Oppilasmäärä lv.  2024-2025]]/Taulukko152143[[#This Row],[Todellinen päätoimisten opettajien määrä]]</f>
        <v>17.045454545454547</v>
      </c>
      <c r="E49" s="69">
        <f>'Väestöennuste alueittain'!I4</f>
        <v>520</v>
      </c>
      <c r="F49" s="122">
        <f>Taulukko152143[[#This Row],[Alueen  lapsimäärä lv. 2029-2030]]/$C$3</f>
        <v>36.619718309859159</v>
      </c>
      <c r="G49" s="328">
        <f>Taulukko152143[[#This Row],[Laskennallinen opettajaresurssi 2029-2030]]-Taulukko152143[[#This Row],[Todellinen päätoimisten opettajien määrä]]</f>
        <v>14.619718309859159</v>
      </c>
      <c r="H49" s="253">
        <f>Taulukko152143[[#This Row],[Alueen  lapsimäärä lv. 2029-2030]]</f>
        <v>520</v>
      </c>
      <c r="I49" s="142">
        <f>Taulukko152143[[#This Row],[Koulun uusi oppilasmäärä]]/$C$3</f>
        <v>36.619718309859159</v>
      </c>
      <c r="J49" s="69">
        <f>'Väestöennuste alueittain'!N4</f>
        <v>520</v>
      </c>
      <c r="K49" s="179">
        <f>J49/$C$3</f>
        <v>36.619718309859159</v>
      </c>
      <c r="L49" s="328">
        <f>K49-Taulukko152143[[#This Row],[Todellinen päätoimisten opettajien määrä]]</f>
        <v>14.619718309859159</v>
      </c>
      <c r="M49" s="255">
        <f t="shared" ref="M49:M56" si="1">J49</f>
        <v>520</v>
      </c>
      <c r="N49" s="258">
        <f>M49/$C$3</f>
        <v>36.619718309859159</v>
      </c>
    </row>
    <row r="50" spans="1:14" ht="15" customHeight="1" x14ac:dyDescent="0.25">
      <c r="A50" s="15" t="s">
        <v>69</v>
      </c>
      <c r="B50" s="152">
        <v>375</v>
      </c>
      <c r="C50" s="179">
        <v>25</v>
      </c>
      <c r="D50" s="179">
        <f>Taulukko152143[[#This Row],[Oppilasmäärä lv.  2024-2025]]/Taulukko152143[[#This Row],[Todellinen päätoimisten opettajien määrä]]</f>
        <v>15</v>
      </c>
      <c r="E50" s="102">
        <f>'Väestöennuste alueittain'!I6</f>
        <v>350</v>
      </c>
      <c r="F50" s="179">
        <f>Taulukko152143[[#This Row],[Alueen  lapsimäärä lv. 2029-2030]]/$C$3</f>
        <v>24.647887323943664</v>
      </c>
      <c r="G50" s="327">
        <f>Taulukko152143[[#This Row],[Laskennallinen opettajaresurssi 2029-2030]]-Taulukko152143[[#This Row],[Todellinen päätoimisten opettajien määrä]]</f>
        <v>-0.35211267605633623</v>
      </c>
      <c r="H50" s="39">
        <f>Taulukko152143[[#This Row],[Alueen  lapsimäärä lv. 2029-2030]]</f>
        <v>350</v>
      </c>
      <c r="I50" s="142">
        <f>Taulukko152143[[#This Row],[Koulun uusi oppilasmäärä]]/$C$3</f>
        <v>24.647887323943664</v>
      </c>
      <c r="J50" s="69">
        <f>'Väestöennuste alueittain'!N6</f>
        <v>380</v>
      </c>
      <c r="K50" s="179">
        <f>J50/$C$3</f>
        <v>26.760563380281692</v>
      </c>
      <c r="L50" s="328">
        <f>K50-Taulukko152143[[#This Row],[Todellinen päätoimisten opettajien määrä]]</f>
        <v>1.7605633802816918</v>
      </c>
      <c r="M50" s="255">
        <f t="shared" si="1"/>
        <v>380</v>
      </c>
      <c r="N50" s="258">
        <f>M50/$C$3</f>
        <v>26.760563380281692</v>
      </c>
    </row>
    <row r="51" spans="1:14" s="7" customFormat="1" ht="15" customHeight="1" x14ac:dyDescent="0.25">
      <c r="A51" s="14" t="s">
        <v>70</v>
      </c>
      <c r="B51" s="155">
        <v>477</v>
      </c>
      <c r="C51" s="180">
        <v>36</v>
      </c>
      <c r="D51" s="180">
        <f>Taulukko152143[[#This Row],[Oppilasmäärä lv.  2024-2025]]/Taulukko152143[[#This Row],[Todellinen päätoimisten opettajien määrä]]</f>
        <v>13.25</v>
      </c>
      <c r="E51" s="151">
        <f>'Väestöennuste alueittain'!I40</f>
        <v>430</v>
      </c>
      <c r="F51" s="183">
        <f>Taulukko152143[[#This Row],[Alueen  lapsimäärä lv. 2029-2030]]/D3</f>
        <v>18.695652173913043</v>
      </c>
      <c r="G51" s="329">
        <f>Taulukko152143[[#This Row],[Laskennallinen opettajaresurssi 2029-2030]]-Taulukko152143[[#This Row],[Todellinen päätoimisten opettajien määrä]]</f>
        <v>-17.304347826086957</v>
      </c>
      <c r="H51" s="45">
        <f>Taulukko152143[[#This Row],[Alueen  lapsimäärä lv. 2029-2030]]+(E57/10)</f>
        <v>491</v>
      </c>
      <c r="I51" s="146">
        <f>Taulukko152143[[#This Row],[Koulun uusi oppilasmäärä]]/D3</f>
        <v>21.347826086956523</v>
      </c>
      <c r="J51" s="271">
        <f>'Väestöennuste alueittain'!N40</f>
        <v>390</v>
      </c>
      <c r="K51" s="206">
        <f>J51/D3</f>
        <v>16.956521739130434</v>
      </c>
      <c r="L51" s="371">
        <f>K51-Taulukko152143[[#This Row],[Todellinen päätoimisten opettajien määrä]]</f>
        <v>-19.043478260869566</v>
      </c>
      <c r="M51" s="256">
        <f>J51+(J57/10)</f>
        <v>446</v>
      </c>
      <c r="N51" s="259">
        <f>M51/D3</f>
        <v>19.391304347826086</v>
      </c>
    </row>
    <row r="52" spans="1:14" ht="15" customHeight="1" x14ac:dyDescent="0.25">
      <c r="A52" s="15" t="s">
        <v>71</v>
      </c>
      <c r="B52" s="152">
        <v>533</v>
      </c>
      <c r="C52" s="179">
        <v>37</v>
      </c>
      <c r="D52" s="179">
        <f>Taulukko152143[[#This Row],[Oppilasmäärä lv.  2024-2025]]/Taulukko152143[[#This Row],[Todellinen päätoimisten opettajien määrä]]</f>
        <v>14.405405405405405</v>
      </c>
      <c r="E52" s="102">
        <f>'Väestöennuste alueittain'!I15</f>
        <v>430</v>
      </c>
      <c r="F52" s="179">
        <f>Taulukko152143[[#This Row],[Alueen  lapsimäärä lv. 2029-2030]]/$C$3</f>
        <v>30.281690140845072</v>
      </c>
      <c r="G52" s="327">
        <f>Taulukko152143[[#This Row],[Laskennallinen opettajaresurssi 2029-2030]]-Taulukko152143[[#This Row],[Todellinen päätoimisten opettajien määrä]]</f>
        <v>-6.7183098591549282</v>
      </c>
      <c r="H52" s="39">
        <f>Taulukko152143[[#This Row],[Alueen  lapsimäärä lv. 2029-2030]]</f>
        <v>430</v>
      </c>
      <c r="I52" s="142">
        <f>Taulukko152143[[#This Row],[Koulun uusi oppilasmäärä]]/$C$3</f>
        <v>30.281690140845072</v>
      </c>
      <c r="J52" s="69">
        <f>'Väestöennuste alueittain'!N15</f>
        <v>450</v>
      </c>
      <c r="K52" s="179">
        <f>J52/$C$3</f>
        <v>31.690140845070424</v>
      </c>
      <c r="L52" s="328">
        <f>K52-Taulukko152143[[#This Row],[Todellinen päätoimisten opettajien määrä]]</f>
        <v>-5.3098591549295762</v>
      </c>
      <c r="M52" s="255">
        <f t="shared" si="1"/>
        <v>450</v>
      </c>
      <c r="N52" s="258">
        <f>M52/$C$3</f>
        <v>31.690140845070424</v>
      </c>
    </row>
    <row r="53" spans="1:14" ht="15" customHeight="1" x14ac:dyDescent="0.25">
      <c r="A53" s="15" t="s">
        <v>74</v>
      </c>
      <c r="B53" s="152">
        <v>704</v>
      </c>
      <c r="C53" s="179">
        <v>43</v>
      </c>
      <c r="D53" s="179">
        <f>Taulukko152143[[#This Row],[Oppilasmäärä lv.  2024-2025]]/Taulukko152143[[#This Row],[Todellinen päätoimisten opettajien määrä]]</f>
        <v>16.372093023255815</v>
      </c>
      <c r="E53" s="102">
        <f>'Väestöennuste alueittain'!I23</f>
        <v>640</v>
      </c>
      <c r="F53" s="179">
        <f>Taulukko152143[[#This Row],[Alueen  lapsimäärä lv. 2029-2030]]/$C$3</f>
        <v>45.070422535211272</v>
      </c>
      <c r="G53" s="327">
        <f>Taulukko152143[[#This Row],[Laskennallinen opettajaresurssi 2029-2030]]-Taulukko152143[[#This Row],[Todellinen päätoimisten opettajien määrä]]</f>
        <v>2.0704225352112715</v>
      </c>
      <c r="H53" s="39">
        <f>Taulukko152143[[#This Row],[Alueen  lapsimäärä lv. 2029-2030]]</f>
        <v>640</v>
      </c>
      <c r="I53" s="142">
        <f>Taulukko152143[[#This Row],[Koulun uusi oppilasmäärä]]/$C$3</f>
        <v>45.070422535211272</v>
      </c>
      <c r="J53" s="69">
        <f>'Väestöennuste alueittain'!N23</f>
        <v>610</v>
      </c>
      <c r="K53" s="179">
        <f>J53/$C$3</f>
        <v>42.95774647887324</v>
      </c>
      <c r="L53" s="328">
        <f>K53-Taulukko152143[[#This Row],[Todellinen päätoimisten opettajien määrä]]</f>
        <v>-4.2253521126760063E-2</v>
      </c>
      <c r="M53" s="255">
        <f t="shared" si="1"/>
        <v>610</v>
      </c>
      <c r="N53" s="258">
        <f>M53/$C$3</f>
        <v>42.95774647887324</v>
      </c>
    </row>
    <row r="54" spans="1:14" ht="15" customHeight="1" x14ac:dyDescent="0.25">
      <c r="A54" s="17" t="s">
        <v>73</v>
      </c>
      <c r="B54" s="152"/>
      <c r="C54" s="179">
        <f>Taulukko152143[[#This Row],[Oppilasmäärä lv.  2024-2025]]/$C$3</f>
        <v>0</v>
      </c>
      <c r="D54" s="179"/>
      <c r="E54" s="152"/>
      <c r="F54" s="179">
        <f>Taulukko152143[[#This Row],[Alueen  lapsimäärä lv. 2029-2030]]/$C$3</f>
        <v>0</v>
      </c>
      <c r="G54" s="327">
        <f>Taulukko152143[[#This Row],[Laskennallinen opettajaresurssi 2029-2030]]-Taulukko152143[[#This Row],[Todellinen päätoimisten opettajien määrä]]</f>
        <v>0</v>
      </c>
      <c r="H54" s="39"/>
      <c r="I54" s="142">
        <f>Taulukko152143[[#This Row],[Koulun uusi oppilasmäärä]]/$C$3</f>
        <v>0</v>
      </c>
      <c r="J54" s="68">
        <v>0</v>
      </c>
      <c r="K54" s="179">
        <v>0</v>
      </c>
      <c r="L54" s="328">
        <v>0</v>
      </c>
      <c r="M54" s="255">
        <f t="shared" si="1"/>
        <v>0</v>
      </c>
      <c r="N54" s="258">
        <f>M54/$C$3</f>
        <v>0</v>
      </c>
    </row>
    <row r="55" spans="1:14" ht="15" customHeight="1" x14ac:dyDescent="0.25">
      <c r="A55" s="18" t="s">
        <v>75</v>
      </c>
      <c r="B55" s="152">
        <v>1014</v>
      </c>
      <c r="C55" s="179">
        <v>77</v>
      </c>
      <c r="D55" s="179">
        <f>Taulukko152143[[#This Row],[Oppilasmäärä lv.  2024-2025]]/Taulukko152143[[#This Row],[Todellinen päätoimisten opettajien määrä]]</f>
        <v>13.168831168831169</v>
      </c>
      <c r="E55" s="102">
        <f>'Väestöennuste alueittain'!I26+'Väestöennuste alueittain'!I48</f>
        <v>970</v>
      </c>
      <c r="F55" s="179">
        <f>Taulukko152143[[#This Row],[Alueen  lapsimäärä lv. 2029-2030]]/$C$3</f>
        <v>68.309859154929583</v>
      </c>
      <c r="G55" s="327">
        <f>Taulukko152143[[#This Row],[Laskennallinen opettajaresurssi 2029-2030]]-Taulukko152143[[#This Row],[Todellinen päätoimisten opettajien määrä]]</f>
        <v>-8.6901408450704167</v>
      </c>
      <c r="H55" s="39">
        <f>H56+H57</f>
        <v>1059</v>
      </c>
      <c r="I55" s="142">
        <f>Taulukko152143[[#This Row],[Koulun uusi oppilasmäärä]]/$C$3</f>
        <v>74.577464788732399</v>
      </c>
      <c r="J55" s="69">
        <f>J56+J57</f>
        <v>910</v>
      </c>
      <c r="K55" s="179">
        <f>J55/$C$3</f>
        <v>64.08450704225352</v>
      </c>
      <c r="L55" s="328">
        <f>K55-Taulukko152143[[#This Row],[Todellinen päätoimisten opettajien määrä]]</f>
        <v>-12.91549295774648</v>
      </c>
      <c r="M55" s="255">
        <f t="shared" si="1"/>
        <v>910</v>
      </c>
      <c r="N55" s="258">
        <f>M55/$C$3</f>
        <v>64.08450704225352</v>
      </c>
    </row>
    <row r="56" spans="1:14" ht="15" customHeight="1" x14ac:dyDescent="0.25">
      <c r="A56" s="16" t="s">
        <v>92</v>
      </c>
      <c r="B56" s="152">
        <v>424</v>
      </c>
      <c r="C56" s="179"/>
      <c r="D56" s="179"/>
      <c r="E56" s="152">
        <f>E55-E57</f>
        <v>360</v>
      </c>
      <c r="F56" s="184">
        <f>Taulukko152143[[#This Row],[Alueen  lapsimäärä lv. 2029-2030]]/$C$3</f>
        <v>25.35211267605634</v>
      </c>
      <c r="G56" s="327">
        <f>Taulukko152143[[#This Row],[Laskennallinen opettajaresurssi 2029-2030]]-Taulukko152143[[#This Row],[Todellinen päätoimisten opettajien määrä]]</f>
        <v>25.35211267605634</v>
      </c>
      <c r="H56" s="39">
        <f>Taulukko152143[[#This Row],[Alueen  lapsimäärä lv. 2029-2030]]</f>
        <v>360</v>
      </c>
      <c r="I56" s="142">
        <f>Taulukko152143[[#This Row],[Koulun uusi oppilasmäärä]]/$C$3</f>
        <v>25.35211267605634</v>
      </c>
      <c r="J56" s="69">
        <f>'Väestöennuste alueittain'!N26</f>
        <v>350</v>
      </c>
      <c r="K56" s="179">
        <f>J56/$C$3</f>
        <v>24.647887323943664</v>
      </c>
      <c r="L56" s="328">
        <f>K56-Taulukko152143[[#This Row],[Todellinen päätoimisten opettajien määrä]]</f>
        <v>24.647887323943664</v>
      </c>
      <c r="M56" s="255">
        <f t="shared" si="1"/>
        <v>350</v>
      </c>
      <c r="N56" s="258">
        <f>M56/$C$3</f>
        <v>24.647887323943664</v>
      </c>
    </row>
    <row r="57" spans="1:14" s="7" customFormat="1" ht="15" customHeight="1" thickBot="1" x14ac:dyDescent="0.3">
      <c r="A57" s="33" t="s">
        <v>67</v>
      </c>
      <c r="B57" s="156">
        <v>590</v>
      </c>
      <c r="C57" s="181"/>
      <c r="D57" s="181"/>
      <c r="E57" s="153">
        <f>'Väestöennuste alueittain'!I48</f>
        <v>610</v>
      </c>
      <c r="F57" s="185">
        <f>Taulukko152143[[#This Row],[Alueen  lapsimäärä lv. 2029-2030]]/D3</f>
        <v>26.521739130434781</v>
      </c>
      <c r="G57" s="330">
        <f>Taulukko152143[[#This Row],[Laskennallinen opettajaresurssi 2029-2030]]-Taulukko152143[[#This Row],[Todellinen päätoimisten opettajien määrä]]</f>
        <v>26.521739130434781</v>
      </c>
      <c r="H57" s="254">
        <f>Taulukko152143[[#This Row],[Alueen  lapsimäärä lv. 2029-2030]]-(Taulukko152143[[#This Row],[Alueen  lapsimäärä lv. 2029-2030]]/10)+150</f>
        <v>699</v>
      </c>
      <c r="I57" s="252">
        <f>Taulukko152143[[#This Row],[Koulun uusi oppilasmäärä]]/D3</f>
        <v>30.391304347826086</v>
      </c>
      <c r="J57" s="272">
        <f>'Väestöennuste alueittain'!N48</f>
        <v>560</v>
      </c>
      <c r="K57" s="185">
        <f>J57/D3</f>
        <v>24.347826086956523</v>
      </c>
      <c r="L57" s="330">
        <f>K57-Taulukko152143[[#This Row],[Todellinen päätoimisten opettajien määrä]]</f>
        <v>24.347826086956523</v>
      </c>
      <c r="M57" s="257">
        <f>J57-(J57/10)+150</f>
        <v>654</v>
      </c>
      <c r="N57" s="261">
        <f>M57/D3</f>
        <v>28.434782608695652</v>
      </c>
    </row>
    <row r="58" spans="1:14" ht="15" customHeight="1" thickTop="1" x14ac:dyDescent="0.25">
      <c r="A58" s="20" t="s">
        <v>54</v>
      </c>
      <c r="B58" s="196">
        <f>SUM(B48:B57)-B56-B57</f>
        <v>3958</v>
      </c>
      <c r="C58" s="207">
        <f>SUM(C48:C57)</f>
        <v>270</v>
      </c>
      <c r="D58" s="207">
        <f>Taulukko152143[[#This Row],[Oppilasmäärä lv.  2024-2025]]/Taulukko152143[[#This Row],[Todellinen päätoimisten opettajien määrä]]</f>
        <v>14.65925925925926</v>
      </c>
      <c r="E58" s="196">
        <f>SUM(E48:E57)-E55</f>
        <v>3750</v>
      </c>
      <c r="F58" s="186">
        <f>Taulukko152143[[#This Row],[Alueen  lapsimäärä lv. 2029-2030]]/$C$3</f>
        <v>264.08450704225356</v>
      </c>
      <c r="G58" s="331">
        <f>Taulukko152143[[#This Row],[Laskennallinen opettajaresurssi 2029-2030]]-Taulukko152143[[#This Row],[Todellinen päätoimisten opettajien määrä]]</f>
        <v>-5.9154929577464372</v>
      </c>
      <c r="H58" s="46">
        <f>H59+H60</f>
        <v>3900</v>
      </c>
      <c r="I58" s="176">
        <f>Taulukko152143[[#This Row],[Koulun uusi oppilasmäärä]]/$C$3</f>
        <v>274.64788732394368</v>
      </c>
      <c r="J58" s="273">
        <f>SUM(J48:J57)-J55</f>
        <v>3650</v>
      </c>
      <c r="K58" s="207">
        <f>J58/$C$3</f>
        <v>257.04225352112678</v>
      </c>
      <c r="L58" s="369">
        <f>K58-Taulukko152143[[#This Row],[Todellinen päätoimisten opettajien määrä]]</f>
        <v>-12.957746478873219</v>
      </c>
      <c r="M58" s="262">
        <f>SUM(M48:M57)</f>
        <v>4710</v>
      </c>
      <c r="N58" s="260">
        <f>M58/$C$3</f>
        <v>331.69014084507046</v>
      </c>
    </row>
    <row r="59" spans="1:14" ht="15" customHeight="1" x14ac:dyDescent="0.25">
      <c r="A59" s="26" t="s">
        <v>91</v>
      </c>
      <c r="B59" s="148">
        <f>B58-B60</f>
        <v>2891</v>
      </c>
      <c r="C59" s="182"/>
      <c r="D59" s="182"/>
      <c r="E59" s="148">
        <f>E58-E60</f>
        <v>2710</v>
      </c>
      <c r="F59" s="187">
        <f>Taulukko152143[[#This Row],[Alueen  lapsimäärä lv. 2029-2030]]/$C$3</f>
        <v>190.84507042253523</v>
      </c>
      <c r="G59" s="332">
        <f>Taulukko152143[[#This Row],[Laskennallinen opettajaresurssi 2029-2030]]-Taulukko152143[[#This Row],[Todellinen päätoimisten opettajien määrä]]</f>
        <v>190.84507042253523</v>
      </c>
      <c r="H59" s="42">
        <f>H48+H49+H50+H52+H53+H56</f>
        <v>2710</v>
      </c>
      <c r="I59" s="177">
        <f>Taulukko152143[[#This Row],[Koulun uusi oppilasmäärä]]/$C$3</f>
        <v>190.84507042253523</v>
      </c>
      <c r="J59" s="274">
        <f>J58-J60</f>
        <v>2700</v>
      </c>
      <c r="K59" s="182">
        <f>J59/$C$3</f>
        <v>190.14084507042256</v>
      </c>
      <c r="L59" s="370">
        <f>K59-Taulukko152143[[#This Row],[Todellinen päätoimisten opettajien määrä]]</f>
        <v>190.14084507042256</v>
      </c>
      <c r="M59" s="264">
        <f>M58-M60</f>
        <v>3610</v>
      </c>
      <c r="N59" s="190">
        <f>M59/$C$3</f>
        <v>254.22535211267606</v>
      </c>
    </row>
    <row r="60" spans="1:14" s="7" customFormat="1" ht="15" customHeight="1" x14ac:dyDescent="0.25">
      <c r="A60" s="30" t="s">
        <v>55</v>
      </c>
      <c r="B60" s="154">
        <f>B51+B57</f>
        <v>1067</v>
      </c>
      <c r="C60" s="188"/>
      <c r="D60" s="375"/>
      <c r="E60" s="154">
        <f t="shared" ref="E60:J60" si="2">E51+E57</f>
        <v>1040</v>
      </c>
      <c r="F60" s="188">
        <f t="shared" si="2"/>
        <v>45.217391304347828</v>
      </c>
      <c r="G60" s="326">
        <f t="shared" si="2"/>
        <v>9.2173913043478244</v>
      </c>
      <c r="H60" s="47">
        <f t="shared" si="2"/>
        <v>1190</v>
      </c>
      <c r="I60" s="251">
        <f t="shared" si="2"/>
        <v>51.739130434782609</v>
      </c>
      <c r="J60" s="275">
        <f t="shared" si="2"/>
        <v>950</v>
      </c>
      <c r="K60" s="188">
        <f>K57+K51</f>
        <v>41.304347826086953</v>
      </c>
      <c r="L60" s="326">
        <f>K60/$C$3</f>
        <v>2.9087568891610531</v>
      </c>
      <c r="M60" s="44">
        <f>M51+M57</f>
        <v>1100</v>
      </c>
      <c r="N60" s="263">
        <f>N51+N57</f>
        <v>47.826086956521735</v>
      </c>
    </row>
    <row r="62" spans="1:14" s="4" customFormat="1" ht="90" x14ac:dyDescent="0.25">
      <c r="A62" s="37" t="s">
        <v>68</v>
      </c>
      <c r="B62" s="5" t="s">
        <v>99</v>
      </c>
      <c r="C62" s="5" t="s">
        <v>113</v>
      </c>
      <c r="D62" s="5" t="s">
        <v>119</v>
      </c>
      <c r="E62" s="5" t="s">
        <v>103</v>
      </c>
      <c r="F62" s="5" t="s">
        <v>114</v>
      </c>
      <c r="G62" s="9" t="s">
        <v>96</v>
      </c>
      <c r="H62" s="5" t="s">
        <v>95</v>
      </c>
      <c r="I62" s="9" t="s">
        <v>120</v>
      </c>
      <c r="J62" s="248" t="s">
        <v>108</v>
      </c>
      <c r="K62" s="249" t="s">
        <v>107</v>
      </c>
      <c r="L62" s="249" t="s">
        <v>106</v>
      </c>
      <c r="M62" s="249" t="s">
        <v>109</v>
      </c>
      <c r="N62" s="247" t="s">
        <v>121</v>
      </c>
    </row>
    <row r="63" spans="1:14" x14ac:dyDescent="0.25">
      <c r="A63" s="18" t="s">
        <v>88</v>
      </c>
      <c r="B63" s="102">
        <v>23</v>
      </c>
      <c r="C63" s="179"/>
      <c r="D63" s="179"/>
      <c r="E63" s="102"/>
      <c r="F63" s="192"/>
      <c r="G63" s="122"/>
      <c r="H63" s="39"/>
      <c r="I63" s="142">
        <f>Taulukko1562244[[#This Row],[Koulun uusi oppilasmäärä]]/$C$3</f>
        <v>0</v>
      </c>
      <c r="J63" s="69"/>
      <c r="K63" s="179">
        <f>Taulukko1562244[[#This Row],[Alueen lasten määrä v. 2035]]/$C$3</f>
        <v>0</v>
      </c>
      <c r="L63" s="328">
        <f>Taulukko1562244[[#This Row],[Laskennallisesti opettajia v. 2035]]-Taulukko1562244[[#This Row],[Todellinen päätoimisten opettajien määrä]]</f>
        <v>0</v>
      </c>
      <c r="M63" s="35"/>
      <c r="N63" s="241"/>
    </row>
    <row r="64" spans="1:14" x14ac:dyDescent="0.25">
      <c r="A64" s="18" t="s">
        <v>82</v>
      </c>
      <c r="B64" s="102">
        <v>366</v>
      </c>
      <c r="C64" s="179">
        <v>27</v>
      </c>
      <c r="D64" s="179">
        <f>Taulukko1562244[[#This Row],[Oppilasmäärä lv.  2024-2025]]/Taulukko1562244[[#This Row],[Todellinen päätoimisten opettajien määrä]]</f>
        <v>13.555555555555555</v>
      </c>
      <c r="E64" s="102">
        <f>'Väestöennuste alueittain'!I3</f>
        <v>280</v>
      </c>
      <c r="F64" s="192">
        <f>Taulukko1562244[[#This Row],[Alueen  lapsimäärä lv. 2029-2030]]/$C$3</f>
        <v>19.718309859154932</v>
      </c>
      <c r="G64" s="320">
        <f>Taulukko1562244[[#This Row],[Laskennallinen opettajaresurssi 2029-2030]]-Taulukko1562244[[#This Row],[Todellinen päätoimisten opettajien määrä]]</f>
        <v>-7.2816901408450683</v>
      </c>
      <c r="H64" s="39">
        <f>Taulukko1562244[[#This Row],[Alueen  lapsimäärä lv. 2029-2030]]+E79</f>
        <v>460</v>
      </c>
      <c r="I64" s="142">
        <f>Taulukko1562244[[#This Row],[Koulun uusi oppilasmäärä]]/$C$3</f>
        <v>32.394366197183103</v>
      </c>
      <c r="J64" s="69">
        <f>'Väestöennuste alueittain'!N3</f>
        <v>320</v>
      </c>
      <c r="K64" s="179">
        <f>Taulukko1562244[[#This Row],[Alueen lasten määrä v. 2035]]/$C$3</f>
        <v>22.535211267605636</v>
      </c>
      <c r="L64" s="328">
        <f>Taulukko1562244[[#This Row],[Laskennallisesti opettajia v. 2035]]-Taulukko1562244[[#This Row],[Todellinen päätoimisten opettajien määrä]]</f>
        <v>-4.4647887323943642</v>
      </c>
      <c r="M64" s="255">
        <f>Taulukko1562244[[#This Row],[Alueen lasten määrä v. 2035]]</f>
        <v>320</v>
      </c>
      <c r="N64" s="258">
        <f>M64/$C$3</f>
        <v>22.535211267605636</v>
      </c>
    </row>
    <row r="65" spans="1:14" s="7" customFormat="1" x14ac:dyDescent="0.25">
      <c r="A65" s="34" t="s">
        <v>85</v>
      </c>
      <c r="B65" s="103">
        <v>791</v>
      </c>
      <c r="C65" s="180">
        <v>60</v>
      </c>
      <c r="D65" s="180">
        <f>Taulukko1562244[[#This Row],[Oppilasmäärä lv.  2024-2025]]/Taulukko1562244[[#This Row],[Todellinen päätoimisten opettajien määrä]]</f>
        <v>13.183333333333334</v>
      </c>
      <c r="E65" s="103">
        <f>'Väestöennuste alueittain'!I38</f>
        <v>470</v>
      </c>
      <c r="F65" s="193">
        <f>Taulukko1562244[[#This Row],[Alueen  lapsimäärä lv. 2029-2030]]/D3</f>
        <v>20.434782608695652</v>
      </c>
      <c r="G65" s="321">
        <f>Taulukko1562244[[#This Row],[Laskennallinen opettajaresurssi 2029-2030]]-Taulukko1562244[[#This Row],[Todellinen päätoimisten opettajien määrä]]</f>
        <v>-39.565217391304344</v>
      </c>
      <c r="H65" s="45">
        <f>Taulukko1562244[[#This Row],[Alueen  lapsimäärä lv. 2029-2030]]</f>
        <v>470</v>
      </c>
      <c r="I65" s="146">
        <f>Taulukko1562244[[#This Row],[Koulun uusi oppilasmäärä]]/D3</f>
        <v>20.434782608695652</v>
      </c>
      <c r="J65" s="276">
        <f>'Väestöennuste alueittain'!N38</f>
        <v>440</v>
      </c>
      <c r="K65" s="206">
        <f>Taulukko1562244[[#This Row],[Alueen lasten määrä v. 2035]]/$C$3</f>
        <v>30.985915492957748</v>
      </c>
      <c r="L65" s="371">
        <f>Taulukko1562244[[#This Row],[Laskennallisesti opettajia v. 2035]]-Taulukko1562244[[#This Row],[Todellinen päätoimisten opettajien määrä]]</f>
        <v>-29.014084507042252</v>
      </c>
      <c r="M65" s="256">
        <f>Taulukko1562244[[#This Row],[Alueen lasten määrä v. 2035]]</f>
        <v>440</v>
      </c>
      <c r="N65" s="259">
        <f>M65/D3</f>
        <v>19.130434782608695</v>
      </c>
    </row>
    <row r="66" spans="1:14" x14ac:dyDescent="0.25">
      <c r="A66" s="18" t="s">
        <v>86</v>
      </c>
      <c r="B66" s="102">
        <v>447</v>
      </c>
      <c r="C66" s="179">
        <v>36</v>
      </c>
      <c r="D66" s="179">
        <f>Taulukko1562244[[#This Row],[Oppilasmäärä lv.  2024-2025]]/Taulukko1562244[[#This Row],[Todellinen päätoimisten opettajien määrä]]</f>
        <v>12.416666666666666</v>
      </c>
      <c r="E66" s="102">
        <f>'Väestöennuste alueittain'!I8</f>
        <v>330</v>
      </c>
      <c r="F66" s="192">
        <f>Taulukko1562244[[#This Row],[Alueen  lapsimäärä lv. 2029-2030]]/$C$3</f>
        <v>23.239436619718312</v>
      </c>
      <c r="G66" s="320">
        <f>Taulukko1562244[[#This Row],[Laskennallinen opettajaresurssi 2029-2030]]-Taulukko1562244[[#This Row],[Todellinen päätoimisten opettajien määrä]]</f>
        <v>-12.760563380281688</v>
      </c>
      <c r="H66" s="39">
        <f>Taulukko1562244[[#This Row],[Alueen  lapsimäärä lv. 2029-2030]]</f>
        <v>330</v>
      </c>
      <c r="I66" s="142">
        <f>Taulukko1562244[[#This Row],[Koulun uusi oppilasmäärä]]/$C$3</f>
        <v>23.239436619718312</v>
      </c>
      <c r="J66" s="69">
        <f>'Väestöennuste alueittain'!N8</f>
        <v>370</v>
      </c>
      <c r="K66" s="179">
        <f>Taulukko1562244[[#This Row],[Alueen lasten määrä v. 2035]]/$C$3</f>
        <v>26.056338028169016</v>
      </c>
      <c r="L66" s="328">
        <f>Taulukko1562244[[#This Row],[Laskennallisesti opettajia v. 2035]]-Taulukko1562244[[#This Row],[Todellinen päätoimisten opettajien määrä]]</f>
        <v>-9.9436619718309842</v>
      </c>
      <c r="M66" s="255">
        <f>Taulukko1562244[[#This Row],[Alueen lasten määrä v. 2035]]</f>
        <v>370</v>
      </c>
      <c r="N66" s="258">
        <f>M66/$C$3</f>
        <v>26.056338028169016</v>
      </c>
    </row>
    <row r="67" spans="1:14" x14ac:dyDescent="0.25">
      <c r="A67" s="18" t="s">
        <v>77</v>
      </c>
      <c r="B67" s="102">
        <v>274</v>
      </c>
      <c r="C67" s="179">
        <v>16</v>
      </c>
      <c r="D67" s="179">
        <f>Taulukko1562244[[#This Row],[Oppilasmäärä lv.  2024-2025]]/Taulukko1562244[[#This Row],[Todellinen päätoimisten opettajien määrä]]</f>
        <v>17.125</v>
      </c>
      <c r="E67" s="102">
        <f>'Väestöennuste alueittain'!I10</f>
        <v>280</v>
      </c>
      <c r="F67" s="192">
        <f>Taulukko1562244[[#This Row],[Alueen  lapsimäärä lv. 2029-2030]]/$C$3</f>
        <v>19.718309859154932</v>
      </c>
      <c r="G67" s="320">
        <f>Taulukko1562244[[#This Row],[Laskennallinen opettajaresurssi 2029-2030]]-Taulukko1562244[[#This Row],[Todellinen päätoimisten opettajien määrä]]</f>
        <v>3.7183098591549317</v>
      </c>
      <c r="H67" s="39">
        <f>Taulukko1562244[[#This Row],[Alueen  lapsimäärä lv. 2029-2030]]</f>
        <v>280</v>
      </c>
      <c r="I67" s="142">
        <f>Taulukko1562244[[#This Row],[Koulun uusi oppilasmäärä]]/$C$3</f>
        <v>19.718309859154932</v>
      </c>
      <c r="J67" s="69">
        <f>'Väestöennuste alueittain'!N10</f>
        <v>290</v>
      </c>
      <c r="K67" s="179">
        <f>Taulukko1562244[[#This Row],[Alueen lasten määrä v. 2035]]/$C$3</f>
        <v>20.422535211267608</v>
      </c>
      <c r="L67" s="328">
        <f>Taulukko1562244[[#This Row],[Laskennallisesti opettajia v. 2035]]-Taulukko1562244[[#This Row],[Todellinen päätoimisten opettajien määrä]]</f>
        <v>4.4225352112676077</v>
      </c>
      <c r="M67" s="255">
        <f>Taulukko1562244[[#This Row],[Alueen lasten määrä v. 2035]]</f>
        <v>290</v>
      </c>
      <c r="N67" s="258">
        <f>M67/$C$3</f>
        <v>20.422535211267608</v>
      </c>
    </row>
    <row r="68" spans="1:14" x14ac:dyDescent="0.25">
      <c r="A68" s="18" t="s">
        <v>78</v>
      </c>
      <c r="B68" s="102">
        <v>266</v>
      </c>
      <c r="C68" s="179">
        <v>16</v>
      </c>
      <c r="D68" s="179">
        <f>Taulukko1562244[[#This Row],[Oppilasmäärä lv.  2024-2025]]/Taulukko1562244[[#This Row],[Todellinen päätoimisten opettajien määrä]]</f>
        <v>16.625</v>
      </c>
      <c r="E68" s="102">
        <f>'Väestöennuste alueittain'!I13</f>
        <v>240</v>
      </c>
      <c r="F68" s="192">
        <f>Taulukko1562244[[#This Row],[Alueen  lapsimäärä lv. 2029-2030]]/$C$3</f>
        <v>16.901408450704228</v>
      </c>
      <c r="G68" s="320">
        <f>Taulukko1562244[[#This Row],[Laskennallinen opettajaresurssi 2029-2030]]-Taulukko1562244[[#This Row],[Todellinen päätoimisten opettajien määrä]]</f>
        <v>0.9014084507042277</v>
      </c>
      <c r="H68" s="39">
        <f>Taulukko1562244[[#This Row],[Alueen  lapsimäärä lv. 2029-2030]]</f>
        <v>240</v>
      </c>
      <c r="I68" s="142">
        <f>Taulukko1562244[[#This Row],[Koulun uusi oppilasmäärä]]/$C$3</f>
        <v>16.901408450704228</v>
      </c>
      <c r="J68" s="69">
        <f>'Väestöennuste alueittain'!N13</f>
        <v>250</v>
      </c>
      <c r="K68" s="179">
        <f>Taulukko1562244[[#This Row],[Alueen lasten määrä v. 2035]]/$C$3</f>
        <v>17.605633802816904</v>
      </c>
      <c r="L68" s="328">
        <f>Taulukko1562244[[#This Row],[Laskennallisesti opettajia v. 2035]]-Taulukko1562244[[#This Row],[Todellinen päätoimisten opettajien määrä]]</f>
        <v>1.6056338028169037</v>
      </c>
      <c r="M68" s="255">
        <f>Taulukko1562244[[#This Row],[Alueen lasten määrä v. 2035]]</f>
        <v>250</v>
      </c>
      <c r="N68" s="258">
        <f>M68/$C$3</f>
        <v>17.605633802816904</v>
      </c>
    </row>
    <row r="69" spans="1:14" s="7" customFormat="1" x14ac:dyDescent="0.25">
      <c r="A69" s="34" t="s">
        <v>81</v>
      </c>
      <c r="B69" s="103">
        <v>833</v>
      </c>
      <c r="C69" s="180">
        <v>64</v>
      </c>
      <c r="D69" s="180">
        <f>Taulukko1562244[[#This Row],[Oppilasmäärä lv.  2024-2025]]/Taulukko1562244[[#This Row],[Todellinen päätoimisten opettajien määrä]]</f>
        <v>13.015625</v>
      </c>
      <c r="E69" s="103">
        <f>'Väestöennuste alueittain'!I44</f>
        <v>780</v>
      </c>
      <c r="F69" s="193">
        <f>Taulukko1562244[[#This Row],[Alueen  lapsimäärä lv. 2029-2030]]/D3</f>
        <v>33.913043478260867</v>
      </c>
      <c r="G69" s="321">
        <f>Taulukko1562244[[#This Row],[Laskennallinen opettajaresurssi 2029-2030]]-Taulukko1562244[[#This Row],[Todellinen päätoimisten opettajien määrä]]</f>
        <v>-30.086956521739133</v>
      </c>
      <c r="H69" s="45">
        <f>Taulukko1562244[[#This Row],[Alueen  lapsimäärä lv. 2029-2030]]</f>
        <v>780</v>
      </c>
      <c r="I69" s="146">
        <f>Taulukko1562244[[#This Row],[Koulun uusi oppilasmäärä]]/D3</f>
        <v>33.913043478260867</v>
      </c>
      <c r="J69" s="276">
        <f>'Väestöennuste alueittain'!N44</f>
        <v>730</v>
      </c>
      <c r="K69" s="206">
        <f>Taulukko1562244[[#This Row],[Alueen lasten määrä v. 2035]]/$C$3</f>
        <v>51.408450704225352</v>
      </c>
      <c r="L69" s="371">
        <f>Taulukko1562244[[#This Row],[Laskennallisesti opettajia v. 2035]]-Taulukko1562244[[#This Row],[Todellinen päätoimisten opettajien määrä]]</f>
        <v>-12.591549295774648</v>
      </c>
      <c r="M69" s="256">
        <f>Taulukko1562244[[#This Row],[Alueen lasten määrä v. 2035]]</f>
        <v>730</v>
      </c>
      <c r="N69" s="259">
        <f>M69/D3</f>
        <v>31.739130434782609</v>
      </c>
    </row>
    <row r="70" spans="1:14" x14ac:dyDescent="0.25">
      <c r="A70" s="18" t="s">
        <v>83</v>
      </c>
      <c r="B70" s="102">
        <v>424</v>
      </c>
      <c r="C70" s="179">
        <v>31</v>
      </c>
      <c r="D70" s="179">
        <f>Taulukko1562244[[#This Row],[Oppilasmäärä lv.  2024-2025]]/Taulukko1562244[[#This Row],[Todellinen päätoimisten opettajien määrä]]</f>
        <v>13.67741935483871</v>
      </c>
      <c r="E70" s="102">
        <f>'Väestöennuste alueittain'!I17+'Väestöennuste alueittain'!I45</f>
        <v>760</v>
      </c>
      <c r="F70" s="192">
        <f>Taulukko1562244[[#This Row],[Alueen  lapsimäärä lv. 2029-2030]]/$C$3</f>
        <v>53.521126760563384</v>
      </c>
      <c r="G70" s="320">
        <f>Taulukko1562244[[#This Row],[Laskennallinen opettajaresurssi 2029-2030]]-Taulukko1562244[[#This Row],[Todellinen päätoimisten opettajien määrä]]</f>
        <v>22.521126760563384</v>
      </c>
      <c r="H70" s="39"/>
      <c r="I70" s="142">
        <f>Taulukko1562244[[#This Row],[Koulun uusi oppilasmäärä]]/$C$3</f>
        <v>0</v>
      </c>
      <c r="J70" s="69">
        <f>J71+J72</f>
        <v>920</v>
      </c>
      <c r="K70" s="179">
        <f>Taulukko1562244[[#This Row],[Alueen lasten määrä v. 2035]]/$C$3</f>
        <v>64.788732394366207</v>
      </c>
      <c r="L70" s="328">
        <f>Taulukko1562244[[#This Row],[Laskennallisesti opettajia v. 2035]]-Taulukko1562244[[#This Row],[Todellinen päätoimisten opettajien määrä]]</f>
        <v>33.788732394366207</v>
      </c>
      <c r="M70" s="255">
        <f>Taulukko1562244[[#This Row],[Alueen lasten määrä v. 2035]]</f>
        <v>920</v>
      </c>
      <c r="N70" s="258">
        <f>M70/$C$3</f>
        <v>64.788732394366207</v>
      </c>
    </row>
    <row r="71" spans="1:14" x14ac:dyDescent="0.25">
      <c r="A71" s="18" t="s">
        <v>92</v>
      </c>
      <c r="B71" s="102">
        <v>254</v>
      </c>
      <c r="C71" s="179"/>
      <c r="D71" s="179"/>
      <c r="E71" s="102">
        <f>E70-E72</f>
        <v>350</v>
      </c>
      <c r="F71" s="192">
        <f>Taulukko1562244[[#This Row],[Alueen  lapsimäärä lv. 2029-2030]]/$C$3</f>
        <v>24.647887323943664</v>
      </c>
      <c r="G71" s="320">
        <f>Taulukko1562244[[#This Row],[Laskennallinen opettajaresurssi 2029-2030]]-Taulukko1562244[[#This Row],[Todellinen päätoimisten opettajien määrä]]</f>
        <v>24.647887323943664</v>
      </c>
      <c r="H71" s="39">
        <f>Taulukko1562244[[#This Row],[Alueen  lapsimäärä lv. 2029-2030]]</f>
        <v>350</v>
      </c>
      <c r="I71" s="142">
        <f>Taulukko1562244[[#This Row],[Koulun uusi oppilasmäärä]]/$C$3</f>
        <v>24.647887323943664</v>
      </c>
      <c r="J71" s="69">
        <f>'Väestöennuste alueittain'!N17</f>
        <v>430</v>
      </c>
      <c r="K71" s="179">
        <f>Taulukko1562244[[#This Row],[Alueen lasten määrä v. 2035]]/$C$3</f>
        <v>30.281690140845072</v>
      </c>
      <c r="L71" s="328">
        <f>Taulukko1562244[[#This Row],[Laskennallisesti opettajia v. 2035]]-Taulukko1562244[[#This Row],[Todellinen päätoimisten opettajien määrä]]</f>
        <v>30.281690140845072</v>
      </c>
      <c r="M71" s="255">
        <f>Taulukko1562244[[#This Row],[Alueen lasten määrä v. 2035]]</f>
        <v>430</v>
      </c>
      <c r="N71" s="258">
        <f>M71/$C$3</f>
        <v>30.281690140845072</v>
      </c>
    </row>
    <row r="72" spans="1:14" s="7" customFormat="1" x14ac:dyDescent="0.25">
      <c r="A72" s="34" t="s">
        <v>67</v>
      </c>
      <c r="B72" s="103">
        <v>170</v>
      </c>
      <c r="C72" s="180"/>
      <c r="D72" s="180"/>
      <c r="E72" s="103">
        <f>'Väestöennuste alueittain'!I45</f>
        <v>410</v>
      </c>
      <c r="F72" s="193">
        <f>Taulukko1562244[[#This Row],[Alueen  lapsimäärä lv. 2029-2030]]/D3</f>
        <v>17.826086956521738</v>
      </c>
      <c r="G72" s="321">
        <f>Taulukko1562244[[#This Row],[Laskennallinen opettajaresurssi 2029-2030]]-Taulukko1562244[[#This Row],[Todellinen päätoimisten opettajien määrä]]</f>
        <v>17.826086956521738</v>
      </c>
      <c r="H72" s="45">
        <f>Taulukko1562244[[#This Row],[Alueen  lapsimäärä lv. 2029-2030]]-150</f>
        <v>260</v>
      </c>
      <c r="I72" s="146">
        <f>Taulukko1562244[[#This Row],[Koulun uusi oppilasmäärä]]/D3</f>
        <v>11.304347826086957</v>
      </c>
      <c r="J72" s="276">
        <f>'Väestöennuste alueittain'!N45</f>
        <v>490</v>
      </c>
      <c r="K72" s="206">
        <f>Taulukko1562244[[#This Row],[Alueen lasten määrä v. 2035]]/$C$3</f>
        <v>34.507042253521128</v>
      </c>
      <c r="L72" s="371">
        <f>Taulukko1562244[[#This Row],[Laskennallisesti opettajia v. 2035]]-Taulukko1562244[[#This Row],[Todellinen päätoimisten opettajien määrä]]</f>
        <v>34.507042253521128</v>
      </c>
      <c r="M72" s="256">
        <f>Taulukko1562244[[#This Row],[Alueen lasten määrä v. 2035]]-150</f>
        <v>340</v>
      </c>
      <c r="N72" s="259">
        <f>M72/D3</f>
        <v>14.782608695652174</v>
      </c>
    </row>
    <row r="73" spans="1:14" x14ac:dyDescent="0.25">
      <c r="A73" s="17" t="s">
        <v>87</v>
      </c>
      <c r="B73" s="102"/>
      <c r="C73" s="179">
        <f>Taulukko1562244[[#This Row],[Oppilasmäärä lv.  2024-2025]]/$C$3</f>
        <v>0</v>
      </c>
      <c r="D73" s="179"/>
      <c r="E73" s="102"/>
      <c r="F73" s="192">
        <f>Taulukko1562244[[#This Row],[Alueen  lapsimäärä lv. 2029-2030]]/$C$3</f>
        <v>0</v>
      </c>
      <c r="G73" s="320">
        <f>Taulukko1562244[[#This Row],[Laskennallinen opettajaresurssi 2029-2030]]-Taulukko1562244[[#This Row],[Todellinen päätoimisten opettajien määrä]]</f>
        <v>0</v>
      </c>
      <c r="H73" s="39"/>
      <c r="I73" s="142">
        <f>Taulukko1562244[[#This Row],[Koulun uusi oppilasmäärä]]/$C$3</f>
        <v>0</v>
      </c>
      <c r="J73" s="69"/>
      <c r="K73" s="179">
        <f>Taulukko1562244[[#This Row],[Alueen lasten määrä v. 2035]]/$C$3</f>
        <v>0</v>
      </c>
      <c r="L73" s="328">
        <f>Taulukko1562244[[#This Row],[Laskennallisesti opettajia v. 2035]]-Taulukko1562244[[#This Row],[Todellinen päätoimisten opettajien määrä]]</f>
        <v>0</v>
      </c>
      <c r="M73" s="255">
        <f>Taulukko1562244[[#This Row],[Alueen lasten määrä v. 2035]]</f>
        <v>0</v>
      </c>
      <c r="N73" s="258">
        <f>M73/$C$3</f>
        <v>0</v>
      </c>
    </row>
    <row r="74" spans="1:14" x14ac:dyDescent="0.25">
      <c r="A74" s="18" t="s">
        <v>76</v>
      </c>
      <c r="B74" s="102">
        <v>511</v>
      </c>
      <c r="C74" s="179">
        <v>35</v>
      </c>
      <c r="D74" s="179">
        <f>Taulukko1562244[[#This Row],[Oppilasmäärä lv.  2024-2025]]/Taulukko1562244[[#This Row],[Todellinen päätoimisten opettajien määrä]]</f>
        <v>14.6</v>
      </c>
      <c r="E74" s="102">
        <f>'Väestöennuste alueittain'!I24+'Väestöennuste alueittain'!I47</f>
        <v>640</v>
      </c>
      <c r="F74" s="192">
        <f>Taulukko1562244[[#This Row],[Alueen  lapsimäärä lv. 2029-2030]]/$C$3</f>
        <v>45.070422535211272</v>
      </c>
      <c r="G74" s="320">
        <f>Taulukko1562244[[#This Row],[Laskennallinen opettajaresurssi 2029-2030]]-Taulukko1562244[[#This Row],[Todellinen päätoimisten opettajien määrä]]</f>
        <v>10.070422535211272</v>
      </c>
      <c r="H74" s="39">
        <f>H75+H76</f>
        <v>640</v>
      </c>
      <c r="I74" s="142">
        <f>Taulukko1562244[[#This Row],[Koulun uusi oppilasmäärä]]/$C$3</f>
        <v>45.070422535211272</v>
      </c>
      <c r="J74" s="69">
        <f>J75+J76</f>
        <v>650</v>
      </c>
      <c r="K74" s="179">
        <f>Taulukko1562244[[#This Row],[Alueen lasten määrä v. 2035]]/$C$3</f>
        <v>45.774647887323944</v>
      </c>
      <c r="L74" s="328">
        <f>Taulukko1562244[[#This Row],[Laskennallisesti opettajia v. 2035]]-Taulukko1562244[[#This Row],[Todellinen päätoimisten opettajien määrä]]</f>
        <v>10.774647887323944</v>
      </c>
      <c r="M74" s="255">
        <f>Taulukko1562244[[#This Row],[Alueen lasten määrä v. 2035]]</f>
        <v>650</v>
      </c>
      <c r="N74" s="258">
        <f>M74/$C$3</f>
        <v>45.774647887323944</v>
      </c>
    </row>
    <row r="75" spans="1:14" x14ac:dyDescent="0.25">
      <c r="A75" s="18" t="s">
        <v>92</v>
      </c>
      <c r="B75" s="102">
        <v>285</v>
      </c>
      <c r="C75" s="179"/>
      <c r="D75" s="179"/>
      <c r="E75" s="102">
        <f>E74-E76+'Väestöennuste alueittain'!I7</f>
        <v>250</v>
      </c>
      <c r="F75" s="192">
        <f>Taulukko1562244[[#This Row],[Alueen  lapsimäärä lv. 2029-2030]]/$C$3</f>
        <v>17.605633802816904</v>
      </c>
      <c r="G75" s="320">
        <f>Taulukko1562244[[#This Row],[Laskennallinen opettajaresurssi 2029-2030]]-Taulukko1562244[[#This Row],[Todellinen päätoimisten opettajien määrä]]</f>
        <v>17.605633802816904</v>
      </c>
      <c r="H75" s="39">
        <f>Taulukko1562244[[#This Row],[Alueen  lapsimäärä lv. 2029-2030]]</f>
        <v>250</v>
      </c>
      <c r="I75" s="142">
        <f>Taulukko1562244[[#This Row],[Koulun uusi oppilasmäärä]]/$C$3</f>
        <v>17.605633802816904</v>
      </c>
      <c r="J75" s="69">
        <f>'Väestöennuste alueittain'!N24+'Väestöennuste alueittain'!N7</f>
        <v>260</v>
      </c>
      <c r="K75" s="179">
        <f>Taulukko1562244[[#This Row],[Alueen lasten määrä v. 2035]]/$C$3</f>
        <v>18.30985915492958</v>
      </c>
      <c r="L75" s="328">
        <f>Taulukko1562244[[#This Row],[Laskennallisesti opettajia v. 2035]]-Taulukko1562244[[#This Row],[Todellinen päätoimisten opettajien määrä]]</f>
        <v>18.30985915492958</v>
      </c>
      <c r="M75" s="255">
        <f>Taulukko1562244[[#This Row],[Alueen lasten määrä v. 2035]]</f>
        <v>260</v>
      </c>
      <c r="N75" s="258">
        <f>M75/$C$3</f>
        <v>18.30985915492958</v>
      </c>
    </row>
    <row r="76" spans="1:14" s="7" customFormat="1" x14ac:dyDescent="0.25">
      <c r="A76" s="34" t="s">
        <v>102</v>
      </c>
      <c r="B76" s="103">
        <v>226</v>
      </c>
      <c r="C76" s="180"/>
      <c r="D76" s="180"/>
      <c r="E76" s="103">
        <f>'Väestöennuste alueittain'!I47+'Väestöennuste alueittain'!I41</f>
        <v>410</v>
      </c>
      <c r="F76" s="193">
        <f>Taulukko1562244[[#This Row],[Alueen  lapsimäärä lv. 2029-2030]]/D3</f>
        <v>17.826086956521738</v>
      </c>
      <c r="G76" s="321">
        <f>Taulukko1562244[[#This Row],[Laskennallinen opettajaresurssi 2029-2030]]-Taulukko1562244[[#This Row],[Todellinen päätoimisten opettajien määrä]]</f>
        <v>17.826086956521738</v>
      </c>
      <c r="H76" s="45">
        <f>Taulukko1562244[[#This Row],[Alueen  lapsimäärä lv. 2029-2030]]-20</f>
        <v>390</v>
      </c>
      <c r="I76" s="146">
        <f>Taulukko1562244[[#This Row],[Koulun uusi oppilasmäärä]]/D3</f>
        <v>16.956521739130434</v>
      </c>
      <c r="J76" s="276">
        <f>'Väestöennuste alueittain'!N47+'Väestöennuste alueittain'!N41</f>
        <v>390</v>
      </c>
      <c r="K76" s="206">
        <f>Taulukko1562244[[#This Row],[Alueen lasten määrä v. 2035]]/$C$3</f>
        <v>27.464788732394368</v>
      </c>
      <c r="L76" s="371">
        <f>Taulukko1562244[[#This Row],[Laskennallisesti opettajia v. 2035]]-Taulukko1562244[[#This Row],[Todellinen päätoimisten opettajien määrä]]</f>
        <v>27.464788732394368</v>
      </c>
      <c r="M76" s="256">
        <f>Taulukko1562244[[#This Row],[Alueen lasten määrä v. 2035]]</f>
        <v>390</v>
      </c>
      <c r="N76" s="259">
        <f>M76/D3</f>
        <v>16.956521739130434</v>
      </c>
    </row>
    <row r="77" spans="1:14" x14ac:dyDescent="0.25">
      <c r="A77" s="18" t="s">
        <v>79</v>
      </c>
      <c r="B77" s="102">
        <v>443</v>
      </c>
      <c r="C77" s="179">
        <v>30</v>
      </c>
      <c r="D77" s="179">
        <f>Taulukko1562244[[#This Row],[Oppilasmäärä lv.  2024-2025]]/Taulukko1562244[[#This Row],[Todellinen päätoimisten opettajien määrä]]</f>
        <v>14.766666666666667</v>
      </c>
      <c r="E77" s="102">
        <f>'Väestöennuste alueittain'!I27</f>
        <v>240</v>
      </c>
      <c r="F77" s="192">
        <f>Taulukko1562244[[#This Row],[Alueen  lapsimäärä lv. 2029-2030]]/$C$3</f>
        <v>16.901408450704228</v>
      </c>
      <c r="G77" s="322">
        <f>Taulukko1562244[[#This Row],[Laskennallinen opettajaresurssi 2029-2030]]-Taulukko1562244[[#This Row],[Todellinen päätoimisten opettajien määrä]]</f>
        <v>-13.098591549295772</v>
      </c>
      <c r="H77" s="39">
        <f>Taulukko1562244[[#This Row],[Alueen  lapsimäärä lv. 2029-2030]]</f>
        <v>240</v>
      </c>
      <c r="I77" s="142">
        <f>Taulukko1562244[[#This Row],[Koulun uusi oppilasmäärä]]/$C$3</f>
        <v>16.901408450704228</v>
      </c>
      <c r="J77" s="69">
        <f>'Väestöennuste alueittain'!N27</f>
        <v>260</v>
      </c>
      <c r="K77" s="179">
        <f>Taulukko1562244[[#This Row],[Alueen lasten määrä v. 2035]]/$C$3</f>
        <v>18.30985915492958</v>
      </c>
      <c r="L77" s="328">
        <f>Taulukko1562244[[#This Row],[Laskennallisesti opettajia v. 2035]]-Taulukko1562244[[#This Row],[Todellinen päätoimisten opettajien määrä]]</f>
        <v>-11.69014084507042</v>
      </c>
      <c r="M77" s="255">
        <f>Taulukko1562244[[#This Row],[Alueen lasten määrä v. 2035]]</f>
        <v>260</v>
      </c>
      <c r="N77" s="258">
        <f>M77/$C$3</f>
        <v>18.30985915492958</v>
      </c>
    </row>
    <row r="78" spans="1:14" x14ac:dyDescent="0.25">
      <c r="A78" s="18" t="s">
        <v>80</v>
      </c>
      <c r="B78" s="102">
        <v>333</v>
      </c>
      <c r="C78" s="179">
        <v>21</v>
      </c>
      <c r="D78" s="179">
        <f>Taulukko1562244[[#This Row],[Oppilasmäärä lv.  2024-2025]]/Taulukko1562244[[#This Row],[Todellinen päätoimisten opettajien määrä]]</f>
        <v>15.857142857142858</v>
      </c>
      <c r="E78" s="102">
        <f>'Väestöennuste alueittain'!I29+'Väestöennuste alueittain'!I18</f>
        <v>410</v>
      </c>
      <c r="F78" s="192">
        <f>Taulukko1562244[[#This Row],[Alueen  lapsimäärä lv. 2029-2030]]/$C$3</f>
        <v>28.87323943661972</v>
      </c>
      <c r="G78" s="320">
        <f>Taulukko1562244[[#This Row],[Laskennallinen opettajaresurssi 2029-2030]]-Taulukko1562244[[#This Row],[Todellinen päätoimisten opettajien määrä]]</f>
        <v>7.8732394366197198</v>
      </c>
      <c r="H78" s="39">
        <f>Taulukko1562244[[#This Row],[Alueen  lapsimäärä lv. 2029-2030]]</f>
        <v>410</v>
      </c>
      <c r="I78" s="142">
        <f>Taulukko1562244[[#This Row],[Koulun uusi oppilasmäärä]]/$C$3</f>
        <v>28.87323943661972</v>
      </c>
      <c r="J78" s="69">
        <f>'Väestöennuste alueittain'!N29+'Väestöennuste alueittain'!N18</f>
        <v>440</v>
      </c>
      <c r="K78" s="179">
        <f>Taulukko1562244[[#This Row],[Alueen lasten määrä v. 2035]]/$C$3</f>
        <v>30.985915492957748</v>
      </c>
      <c r="L78" s="328">
        <f>Taulukko1562244[[#This Row],[Laskennallisesti opettajia v. 2035]]-Taulukko1562244[[#This Row],[Todellinen päätoimisten opettajien määrä]]</f>
        <v>9.9859154929577478</v>
      </c>
      <c r="M78" s="255">
        <f>Taulukko1562244[[#This Row],[Alueen lasten määrä v. 2035]]</f>
        <v>440</v>
      </c>
      <c r="N78" s="258">
        <f>M78/$C$3</f>
        <v>30.985915492957748</v>
      </c>
    </row>
    <row r="79" spans="1:14" ht="15.75" thickBot="1" x14ac:dyDescent="0.3">
      <c r="A79" s="27" t="s">
        <v>84</v>
      </c>
      <c r="B79" s="195">
        <v>93</v>
      </c>
      <c r="C79" s="191">
        <v>7</v>
      </c>
      <c r="D79" s="191">
        <f>Taulukko1562244[[#This Row],[Oppilasmäärä lv.  2024-2025]]/Taulukko1562244[[#This Row],[Todellinen päätoimisten opettajien määrä]]</f>
        <v>13.285714285714286</v>
      </c>
      <c r="E79" s="195">
        <f>'Väestöennuste alueittain'!I31</f>
        <v>180</v>
      </c>
      <c r="F79" s="194">
        <f>Taulukko1562244[[#This Row],[Alueen  lapsimäärä lv. 2029-2030]]/$C$3</f>
        <v>12.67605633802817</v>
      </c>
      <c r="G79" s="323">
        <f>Taulukko1562244[[#This Row],[Laskennallinen opettajaresurssi 2029-2030]]-Taulukko1562244[[#This Row],[Todellinen päätoimisten opettajien määrä]]</f>
        <v>5.6760563380281699</v>
      </c>
      <c r="H79" s="40">
        <v>0</v>
      </c>
      <c r="I79" s="143">
        <f>Taulukko1562244[[#This Row],[Koulun uusi oppilasmäärä]]/$C$3</f>
        <v>0</v>
      </c>
      <c r="J79" s="277">
        <f>'Väestöennuste alueittain'!N31</f>
        <v>180</v>
      </c>
      <c r="K79" s="191">
        <f>Taulukko1562244[[#This Row],[Alueen lasten määrä v. 2035]]/$C$3</f>
        <v>12.67605633802817</v>
      </c>
      <c r="L79" s="368">
        <f>Taulukko1562244[[#This Row],[Laskennallisesti opettajia v. 2035]]-Taulukko1562244[[#This Row],[Todellinen päätoimisten opettajien määrä]]</f>
        <v>5.6760563380281699</v>
      </c>
      <c r="M79" s="265">
        <f>Taulukko1562244[[#This Row],[Alueen lasten määrä v. 2035]]</f>
        <v>180</v>
      </c>
      <c r="N79" s="266">
        <f>M79/$C$3</f>
        <v>12.67605633802817</v>
      </c>
    </row>
    <row r="80" spans="1:14" ht="15.75" thickTop="1" x14ac:dyDescent="0.25">
      <c r="A80" s="19" t="s">
        <v>54</v>
      </c>
      <c r="B80" s="196">
        <f>SUM(B63:B79)-B70-B74</f>
        <v>4804</v>
      </c>
      <c r="C80" s="207">
        <f>SUM(C64:C79)</f>
        <v>343</v>
      </c>
      <c r="D80" s="207">
        <f>Taulukko1562244[[#This Row],[Oppilasmäärä lv.  2024-2025]]/Taulukko1562244[[#This Row],[Todellinen päätoimisten opettajien määrä]]</f>
        <v>14.005830903790088</v>
      </c>
      <c r="E80" s="196">
        <f>SUM(E63:E79)-E70-E74</f>
        <v>4630</v>
      </c>
      <c r="F80" s="213">
        <f>Taulukko1562244[[#This Row],[Alueen  lapsimäärä lv. 2029-2030]]/$C$3</f>
        <v>326.05633802816902</v>
      </c>
      <c r="G80" s="324">
        <f>Taulukko1562244[[#This Row],[Laskennallinen opettajaresurssi 2029-2030]]-Taulukko1562244[[#This Row],[Todellinen päätoimisten opettajien määrä]]</f>
        <v>-16.943661971830977</v>
      </c>
      <c r="H80" s="46">
        <f>Taulukko1562244[[#This Row],[Alueen  lapsimäärä lv. 2029-2030]]-150</f>
        <v>4480</v>
      </c>
      <c r="I80" s="176">
        <f>Taulukko1562244[[#This Row],[Koulun uusi oppilasmäärä]]/$C$3</f>
        <v>315.49295774647891</v>
      </c>
      <c r="J80" s="278">
        <f>SUM(J63:J79)-J70-J74</f>
        <v>4850</v>
      </c>
      <c r="K80" s="207">
        <f>Taulukko1562244[[#This Row],[Alueen lasten määrä v. 2035]]/$C$3</f>
        <v>341.54929577464793</v>
      </c>
      <c r="L80" s="369">
        <f>Taulukko1562244[[#This Row],[Laskennallisesti opettajia v. 2035]]-Taulukko1562244[[#This Row],[Todellinen päätoimisten opettajien määrä]]</f>
        <v>-1.4507042253520694</v>
      </c>
      <c r="M80" s="262">
        <f>SUM(M63:M79)</f>
        <v>6270</v>
      </c>
      <c r="N80" s="242">
        <f>SUM(N63:N79)</f>
        <v>390.35517452541342</v>
      </c>
    </row>
    <row r="81" spans="1:14" x14ac:dyDescent="0.25">
      <c r="A81" s="25" t="s">
        <v>92</v>
      </c>
      <c r="B81" s="148">
        <f>B80-B82</f>
        <v>2784</v>
      </c>
      <c r="C81" s="182"/>
      <c r="D81" s="182"/>
      <c r="E81" s="148">
        <f>E80-E82</f>
        <v>2560</v>
      </c>
      <c r="F81" s="214">
        <f>Taulukko1562244[[#This Row],[Alueen  lapsimäärä lv. 2029-2030]]/$C$3</f>
        <v>180.28169014084509</v>
      </c>
      <c r="G81" s="325">
        <f>Taulukko1562244[[#This Row],[Laskennallinen opettajaresurssi 2029-2030]]-Taulukko1562244[[#This Row],[Todellinen päätoimisten opettajien määrä]]</f>
        <v>180.28169014084509</v>
      </c>
      <c r="H81" s="42">
        <f>H80-H82</f>
        <v>2580</v>
      </c>
      <c r="I81" s="177">
        <f>Taulukko1562244[[#This Row],[Koulun uusi oppilasmäärä]]/$C$3</f>
        <v>181.69014084507043</v>
      </c>
      <c r="J81" s="279">
        <f>J80-J82</f>
        <v>2800</v>
      </c>
      <c r="K81" s="182">
        <f>Taulukko1562244[[#This Row],[Alueen lasten määrä v. 2035]]/$C$3</f>
        <v>197.18309859154931</v>
      </c>
      <c r="L81" s="370">
        <f>Taulukko1562244[[#This Row],[Laskennallisesti opettajia v. 2035]]-Taulukko1562244[[#This Row],[Todellinen päätoimisten opettajien määrä]]</f>
        <v>197.18309859154931</v>
      </c>
      <c r="M81" s="264">
        <f>M80-M82</f>
        <v>4370</v>
      </c>
      <c r="N81" s="243">
        <f>N80-N82</f>
        <v>307.74647887323948</v>
      </c>
    </row>
    <row r="82" spans="1:14" s="7" customFormat="1" x14ac:dyDescent="0.25">
      <c r="A82" s="30" t="s">
        <v>55</v>
      </c>
      <c r="B82" s="150">
        <f>B65+B69+B72+B76</f>
        <v>2020</v>
      </c>
      <c r="C82" s="375"/>
      <c r="D82" s="375"/>
      <c r="E82" s="150">
        <f t="shared" ref="E82:M82" si="3">E65+E69+E72+E76</f>
        <v>2070</v>
      </c>
      <c r="F82" s="215">
        <f>F65+F69+F72+F76</f>
        <v>89.999999999999986</v>
      </c>
      <c r="G82" s="326">
        <f t="shared" si="3"/>
        <v>-34</v>
      </c>
      <c r="H82" s="47">
        <f t="shared" si="3"/>
        <v>1900</v>
      </c>
      <c r="I82" s="178">
        <f t="shared" si="3"/>
        <v>82.608695652173907</v>
      </c>
      <c r="J82" s="280">
        <f t="shared" si="3"/>
        <v>2050</v>
      </c>
      <c r="K82" s="201">
        <f t="shared" si="3"/>
        <v>144.36619718309859</v>
      </c>
      <c r="L82" s="365">
        <f>L65+L69+L72+L76</f>
        <v>20.366197183098599</v>
      </c>
      <c r="M82" s="267">
        <f t="shared" si="3"/>
        <v>1900</v>
      </c>
      <c r="N82" s="149">
        <f>N65+N69+N72+N76</f>
        <v>82.608695652173921</v>
      </c>
    </row>
    <row r="83" spans="1:14" x14ac:dyDescent="0.25">
      <c r="D83" s="32"/>
      <c r="E83" s="32"/>
      <c r="F83" s="32"/>
      <c r="G83" s="32"/>
    </row>
    <row r="85" spans="1:14" s="4" customFormat="1" ht="60" x14ac:dyDescent="0.25">
      <c r="A85" s="28" t="s">
        <v>90</v>
      </c>
      <c r="B85" s="5" t="s">
        <v>99</v>
      </c>
      <c r="C85" s="5" t="s">
        <v>113</v>
      </c>
      <c r="D85" s="5" t="s">
        <v>119</v>
      </c>
      <c r="E85" s="5" t="s">
        <v>103</v>
      </c>
      <c r="F85" s="5" t="s">
        <v>114</v>
      </c>
      <c r="G85" s="9" t="s">
        <v>96</v>
      </c>
      <c r="H85" s="250" t="s">
        <v>104</v>
      </c>
      <c r="I85" s="245" t="s">
        <v>105</v>
      </c>
      <c r="J85" s="246" t="s">
        <v>115</v>
      </c>
    </row>
    <row r="86" spans="1:14" ht="15.75" x14ac:dyDescent="0.25">
      <c r="A86" s="49" t="s">
        <v>46</v>
      </c>
      <c r="B86" s="50">
        <f t="shared" ref="B86:B88" si="4">B20</f>
        <v>1195</v>
      </c>
      <c r="C86" s="287">
        <f>C20</f>
        <v>93.6</v>
      </c>
      <c r="D86" s="287">
        <f>Taulukko2245[[#This Row],[Oppilasmäärä lv.  2024-2025]]/Taulukko2245[[#This Row],[Todellinen päätoimisten opettajien määrä]]</f>
        <v>12.767094017094017</v>
      </c>
      <c r="E86" s="313">
        <f t="shared" ref="E86:F88" si="5">E20</f>
        <v>800</v>
      </c>
      <c r="F86" s="288">
        <f t="shared" si="5"/>
        <v>56.338028169014088</v>
      </c>
      <c r="G86" s="289">
        <f>Taulukko2245[[#This Row],[Laskennallinen opettajaresurssi 2029-2030]]-Taulukko2245[[#This Row],[Todellinen päätoimisten opettajien määrä]]</f>
        <v>-37.261971830985907</v>
      </c>
      <c r="H86" s="290">
        <f t="shared" ref="H86:J88" si="6">J20</f>
        <v>720</v>
      </c>
      <c r="I86" s="290">
        <f>K20</f>
        <v>50.70422535211268</v>
      </c>
      <c r="J86" s="291">
        <f t="shared" si="6"/>
        <v>-42.895774647887315</v>
      </c>
      <c r="K86"/>
      <c r="L86"/>
      <c r="M86"/>
      <c r="N86"/>
    </row>
    <row r="87" spans="1:14" ht="15.75" x14ac:dyDescent="0.25">
      <c r="A87" s="51" t="s">
        <v>97</v>
      </c>
      <c r="B87" s="52">
        <f t="shared" si="4"/>
        <v>747</v>
      </c>
      <c r="C87" s="292"/>
      <c r="D87" s="292"/>
      <c r="E87" s="314">
        <f t="shared" si="5"/>
        <v>470</v>
      </c>
      <c r="F87" s="293">
        <f t="shared" si="5"/>
        <v>33.098591549295776</v>
      </c>
      <c r="G87" s="294">
        <f>Taulukko2245[[#This Row],[Laskennallinen opettajaresurssi 2029-2030]]-Taulukko2245[[#This Row],[Todellinen päätoimisten opettajien määrä]]</f>
        <v>33.098591549295776</v>
      </c>
      <c r="H87" s="295">
        <f t="shared" si="6"/>
        <v>480</v>
      </c>
      <c r="I87" s="295">
        <f t="shared" si="6"/>
        <v>33.802816901408455</v>
      </c>
      <c r="J87" s="296">
        <f t="shared" si="6"/>
        <v>33.802816901408455</v>
      </c>
      <c r="K87"/>
      <c r="L87"/>
      <c r="M87"/>
      <c r="N87"/>
    </row>
    <row r="88" spans="1:14" ht="16.5" thickBot="1" x14ac:dyDescent="0.3">
      <c r="A88" s="53" t="s">
        <v>98</v>
      </c>
      <c r="B88" s="54">
        <f t="shared" si="4"/>
        <v>448</v>
      </c>
      <c r="C88" s="297"/>
      <c r="D88" s="297"/>
      <c r="E88" s="315">
        <f t="shared" si="5"/>
        <v>330</v>
      </c>
      <c r="F88" s="298">
        <f t="shared" si="5"/>
        <v>14.347826086956522</v>
      </c>
      <c r="G88" s="299">
        <f>Taulukko2245[[#This Row],[Laskennallinen opettajaresurssi 2029-2030]]-Taulukko2245[[#This Row],[Todellinen päätoimisten opettajien määrä]]</f>
        <v>14.347826086956522</v>
      </c>
      <c r="H88" s="300">
        <f t="shared" si="6"/>
        <v>240</v>
      </c>
      <c r="I88" s="300">
        <f t="shared" si="6"/>
        <v>10.434782608695652</v>
      </c>
      <c r="J88" s="301">
        <f t="shared" si="6"/>
        <v>10.434782608695652</v>
      </c>
      <c r="K88"/>
      <c r="L88"/>
      <c r="M88"/>
      <c r="N88"/>
    </row>
    <row r="89" spans="1:14" s="1" customFormat="1" ht="15.75" x14ac:dyDescent="0.25">
      <c r="A89" s="55" t="s">
        <v>57</v>
      </c>
      <c r="B89" s="56">
        <f t="shared" ref="B89:B91" si="7">B33</f>
        <v>781</v>
      </c>
      <c r="C89" s="303">
        <f>C33</f>
        <v>51</v>
      </c>
      <c r="D89" s="303">
        <f>Taulukko2245[[#This Row],[Oppilasmäärä lv.  2024-2025]]/Taulukko2245[[#This Row],[Todellinen päätoimisten opettajien määrä]]</f>
        <v>15.313725490196079</v>
      </c>
      <c r="E89" s="316">
        <f t="shared" ref="E89:F91" si="8">E33</f>
        <v>650</v>
      </c>
      <c r="F89" s="303">
        <f t="shared" si="8"/>
        <v>45.774647887323944</v>
      </c>
      <c r="G89" s="304">
        <f>Taulukko2245[[#This Row],[Laskennallinen opettajaresurssi 2029-2030]]-Taulukko2245[[#This Row],[Todellinen päätoimisten opettajien määrä]]</f>
        <v>-5.225352112676056</v>
      </c>
      <c r="H89" s="305">
        <f t="shared" ref="H89:J91" si="9">J33</f>
        <v>660</v>
      </c>
      <c r="I89" s="305">
        <f t="shared" si="9"/>
        <v>46.478873239436624</v>
      </c>
      <c r="J89" s="306">
        <f t="shared" si="9"/>
        <v>-4.5211267605633765</v>
      </c>
    </row>
    <row r="90" spans="1:14" ht="15.75" x14ac:dyDescent="0.25">
      <c r="A90" s="51" t="s">
        <v>97</v>
      </c>
      <c r="B90" s="57">
        <f t="shared" si="7"/>
        <v>701</v>
      </c>
      <c r="C90" s="307"/>
      <c r="D90" s="307"/>
      <c r="E90" s="317">
        <f t="shared" si="8"/>
        <v>560</v>
      </c>
      <c r="F90" s="307">
        <f t="shared" si="8"/>
        <v>39.436619718309863</v>
      </c>
      <c r="G90" s="294">
        <f>Taulukko2245[[#This Row],[Laskennallinen opettajaresurssi 2029-2030]]-Taulukko2245[[#This Row],[Todellinen päätoimisten opettajien määrä]]</f>
        <v>39.436619718309863</v>
      </c>
      <c r="H90" s="295">
        <f t="shared" si="9"/>
        <v>570</v>
      </c>
      <c r="I90" s="295">
        <f t="shared" si="9"/>
        <v>40.140845070422536</v>
      </c>
      <c r="J90" s="296">
        <f t="shared" si="9"/>
        <v>40.140845070422536</v>
      </c>
      <c r="K90"/>
      <c r="L90"/>
      <c r="M90"/>
      <c r="N90"/>
    </row>
    <row r="91" spans="1:14" ht="16.5" thickBot="1" x14ac:dyDescent="0.3">
      <c r="A91" s="53" t="s">
        <v>98</v>
      </c>
      <c r="B91" s="54">
        <f t="shared" si="7"/>
        <v>80</v>
      </c>
      <c r="C91" s="297"/>
      <c r="D91" s="297"/>
      <c r="E91" s="315">
        <f t="shared" si="8"/>
        <v>90</v>
      </c>
      <c r="F91" s="297">
        <f t="shared" si="8"/>
        <v>6.3380281690140849</v>
      </c>
      <c r="G91" s="299">
        <f>Taulukko2245[[#This Row],[Laskennallinen opettajaresurssi 2029-2030]]-Taulukko2245[[#This Row],[Todellinen päätoimisten opettajien määrä]]</f>
        <v>6.3380281690140849</v>
      </c>
      <c r="H91" s="300">
        <f t="shared" si="9"/>
        <v>90</v>
      </c>
      <c r="I91" s="300">
        <f t="shared" si="9"/>
        <v>3.9130434782608696</v>
      </c>
      <c r="J91" s="301">
        <f t="shared" si="9"/>
        <v>3.9130434782608696</v>
      </c>
      <c r="K91"/>
      <c r="L91"/>
      <c r="M91"/>
      <c r="N91"/>
    </row>
    <row r="92" spans="1:14" s="1" customFormat="1" ht="15.75" x14ac:dyDescent="0.25">
      <c r="A92" s="58" t="s">
        <v>93</v>
      </c>
      <c r="B92" s="56">
        <f t="shared" ref="B92:B94" si="10">B43</f>
        <v>361</v>
      </c>
      <c r="C92" s="303">
        <f>C43</f>
        <v>26</v>
      </c>
      <c r="D92" s="303">
        <f>Taulukko2245[[#This Row],[Oppilasmäärä lv.  2024-2025]]/Taulukko2245[[#This Row],[Todellinen päätoimisten opettajien määrä]]</f>
        <v>13.884615384615385</v>
      </c>
      <c r="E92" s="316">
        <f t="shared" ref="E92:F94" si="11">E43</f>
        <v>310</v>
      </c>
      <c r="F92" s="303">
        <f t="shared" si="11"/>
        <v>21.83098591549296</v>
      </c>
      <c r="G92" s="304">
        <f>Taulukko2245[[#This Row],[Laskennallinen opettajaresurssi 2029-2030]]-Taulukko2245[[#This Row],[Todellinen päätoimisten opettajien määrä]]</f>
        <v>-4.1690140845070403</v>
      </c>
      <c r="H92" s="305">
        <f t="shared" ref="H92:J94" si="12">J43</f>
        <v>290</v>
      </c>
      <c r="I92" s="305">
        <f t="shared" si="12"/>
        <v>20.422535211267608</v>
      </c>
      <c r="J92" s="306">
        <f t="shared" si="12"/>
        <v>-5.5774647887323923</v>
      </c>
    </row>
    <row r="93" spans="1:14" ht="15.75" x14ac:dyDescent="0.25">
      <c r="A93" s="59" t="s">
        <v>97</v>
      </c>
      <c r="B93" s="57">
        <f t="shared" si="10"/>
        <v>234</v>
      </c>
      <c r="C93" s="307"/>
      <c r="D93" s="307"/>
      <c r="E93" s="317">
        <f t="shared" si="11"/>
        <v>190</v>
      </c>
      <c r="F93" s="307">
        <f t="shared" si="11"/>
        <v>16.613594611145132</v>
      </c>
      <c r="G93" s="294">
        <f>Taulukko2245[[#This Row],[Laskennallinen opettajaresurssi 2029-2030]]-Taulukko2245[[#This Row],[Todellinen päätoimisten opettajien määrä]]</f>
        <v>16.613594611145132</v>
      </c>
      <c r="H93" s="295">
        <f t="shared" si="12"/>
        <v>190</v>
      </c>
      <c r="I93" s="295">
        <f t="shared" si="12"/>
        <v>13.380281690140846</v>
      </c>
      <c r="J93" s="296">
        <f t="shared" si="12"/>
        <v>13.380281690140846</v>
      </c>
      <c r="K93"/>
      <c r="L93"/>
      <c r="M93"/>
      <c r="N93"/>
    </row>
    <row r="94" spans="1:14" ht="16.5" thickBot="1" x14ac:dyDescent="0.3">
      <c r="A94" s="60" t="s">
        <v>98</v>
      </c>
      <c r="B94" s="61">
        <f t="shared" si="10"/>
        <v>127</v>
      </c>
      <c r="C94" s="297"/>
      <c r="D94" s="297"/>
      <c r="E94" s="315">
        <f t="shared" si="11"/>
        <v>120</v>
      </c>
      <c r="F94" s="297">
        <f t="shared" si="11"/>
        <v>5.2173913043478262</v>
      </c>
      <c r="G94" s="299">
        <f>Taulukko2245[[#This Row],[Laskennallinen opettajaresurssi 2029-2030]]-Taulukko2245[[#This Row],[Todellinen päätoimisten opettajien määrä]]</f>
        <v>5.2173913043478262</v>
      </c>
      <c r="H94" s="300">
        <f t="shared" si="12"/>
        <v>100</v>
      </c>
      <c r="I94" s="300">
        <f t="shared" si="12"/>
        <v>4.3478260869565215</v>
      </c>
      <c r="J94" s="301">
        <f t="shared" si="12"/>
        <v>4.3478260869565215</v>
      </c>
      <c r="K94"/>
      <c r="L94"/>
      <c r="M94"/>
      <c r="N94"/>
    </row>
    <row r="95" spans="1:14" s="1" customFormat="1" ht="15.75" x14ac:dyDescent="0.25">
      <c r="A95" s="55" t="s">
        <v>100</v>
      </c>
      <c r="B95" s="56">
        <f>B58</f>
        <v>3958</v>
      </c>
      <c r="C95" s="303">
        <f>C58</f>
        <v>270</v>
      </c>
      <c r="D95" s="303">
        <f>Taulukko2245[[#This Row],[Oppilasmäärä lv.  2024-2025]]/Taulukko2245[[#This Row],[Todellinen päätoimisten opettajien määrä]]</f>
        <v>14.65925925925926</v>
      </c>
      <c r="E95" s="316">
        <f t="shared" ref="E95:F97" si="13">E58</f>
        <v>3750</v>
      </c>
      <c r="F95" s="303">
        <f t="shared" si="13"/>
        <v>264.08450704225356</v>
      </c>
      <c r="G95" s="304">
        <f>Taulukko2245[[#This Row],[Laskennallinen opettajaresurssi 2029-2030]]-Taulukko2245[[#This Row],[Todellinen päätoimisten opettajien määrä]]</f>
        <v>-5.9154929577464372</v>
      </c>
      <c r="H95" s="305">
        <f t="shared" ref="H95:J97" si="14">J58</f>
        <v>3650</v>
      </c>
      <c r="I95" s="305">
        <f t="shared" si="14"/>
        <v>257.04225352112678</v>
      </c>
      <c r="J95" s="306">
        <f t="shared" si="14"/>
        <v>-12.957746478873219</v>
      </c>
    </row>
    <row r="96" spans="1:14" ht="15.75" x14ac:dyDescent="0.25">
      <c r="A96" s="51" t="s">
        <v>97</v>
      </c>
      <c r="B96" s="57">
        <f>B59</f>
        <v>2891</v>
      </c>
      <c r="C96" s="307"/>
      <c r="D96" s="307"/>
      <c r="E96" s="317">
        <f t="shared" si="13"/>
        <v>2710</v>
      </c>
      <c r="F96" s="307">
        <f t="shared" si="13"/>
        <v>190.84507042253523</v>
      </c>
      <c r="G96" s="294">
        <f>Taulukko2245[[#This Row],[Laskennallinen opettajaresurssi 2029-2030]]-Taulukko2245[[#This Row],[Todellinen päätoimisten opettajien määrä]]</f>
        <v>190.84507042253523</v>
      </c>
      <c r="H96" s="295">
        <f t="shared" si="14"/>
        <v>2700</v>
      </c>
      <c r="I96" s="295">
        <f t="shared" si="14"/>
        <v>190.14084507042256</v>
      </c>
      <c r="J96" s="296">
        <f t="shared" si="14"/>
        <v>190.14084507042256</v>
      </c>
      <c r="K96"/>
      <c r="L96"/>
      <c r="M96"/>
      <c r="N96"/>
    </row>
    <row r="97" spans="1:14" ht="16.5" thickBot="1" x14ac:dyDescent="0.3">
      <c r="A97" s="53" t="s">
        <v>98</v>
      </c>
      <c r="B97" s="61">
        <f>B60</f>
        <v>1067</v>
      </c>
      <c r="C97" s="297"/>
      <c r="D97" s="297"/>
      <c r="E97" s="315">
        <f t="shared" si="13"/>
        <v>1040</v>
      </c>
      <c r="F97" s="297">
        <f t="shared" si="13"/>
        <v>45.217391304347828</v>
      </c>
      <c r="G97" s="299">
        <f>Taulukko2245[[#This Row],[Laskennallinen opettajaresurssi 2029-2030]]-Taulukko2245[[#This Row],[Todellinen päätoimisten opettajien määrä]]</f>
        <v>45.217391304347828</v>
      </c>
      <c r="H97" s="300">
        <f t="shared" si="14"/>
        <v>950</v>
      </c>
      <c r="I97" s="300">
        <f t="shared" si="14"/>
        <v>41.304347826086953</v>
      </c>
      <c r="J97" s="301">
        <f t="shared" si="14"/>
        <v>2.9087568891610531</v>
      </c>
      <c r="K97"/>
      <c r="L97"/>
      <c r="M97"/>
      <c r="N97"/>
    </row>
    <row r="98" spans="1:14" s="1" customFormat="1" ht="15.75" x14ac:dyDescent="0.25">
      <c r="A98" s="55" t="s">
        <v>68</v>
      </c>
      <c r="B98" s="56">
        <f>B80</f>
        <v>4804</v>
      </c>
      <c r="C98" s="303">
        <f>C80</f>
        <v>343</v>
      </c>
      <c r="D98" s="303">
        <f>Taulukko2245[[#This Row],[Oppilasmäärä lv.  2024-2025]]/Taulukko2245[[#This Row],[Todellinen päätoimisten opettajien määrä]]</f>
        <v>14.005830903790088</v>
      </c>
      <c r="E98" s="316">
        <f t="shared" ref="E98:F100" si="15">E80</f>
        <v>4630</v>
      </c>
      <c r="F98" s="303">
        <f t="shared" si="15"/>
        <v>326.05633802816902</v>
      </c>
      <c r="G98" s="304">
        <f>Taulukko2245[[#This Row],[Laskennallinen opettajaresurssi 2029-2030]]-Taulukko2245[[#This Row],[Todellinen päätoimisten opettajien määrä]]</f>
        <v>-16.943661971830977</v>
      </c>
      <c r="H98" s="305">
        <f t="shared" ref="H98:J100" si="16">J80</f>
        <v>4850</v>
      </c>
      <c r="I98" s="305">
        <f t="shared" si="16"/>
        <v>341.54929577464793</v>
      </c>
      <c r="J98" s="306">
        <f t="shared" si="16"/>
        <v>-1.4507042253520694</v>
      </c>
    </row>
    <row r="99" spans="1:14" ht="15.75" x14ac:dyDescent="0.25">
      <c r="A99" s="51" t="s">
        <v>97</v>
      </c>
      <c r="B99" s="57">
        <f>B81</f>
        <v>2784</v>
      </c>
      <c r="C99" s="307"/>
      <c r="D99" s="307"/>
      <c r="E99" s="317">
        <f t="shared" si="15"/>
        <v>2560</v>
      </c>
      <c r="F99" s="307">
        <f t="shared" si="15"/>
        <v>180.28169014084509</v>
      </c>
      <c r="G99" s="294">
        <f>Taulukko2245[[#This Row],[Laskennallinen opettajaresurssi 2029-2030]]-Taulukko2245[[#This Row],[Todellinen päätoimisten opettajien määrä]]</f>
        <v>180.28169014084509</v>
      </c>
      <c r="H99" s="295">
        <f t="shared" si="16"/>
        <v>2800</v>
      </c>
      <c r="I99" s="295">
        <f t="shared" si="16"/>
        <v>197.18309859154931</v>
      </c>
      <c r="J99" s="296">
        <f t="shared" si="16"/>
        <v>197.18309859154931</v>
      </c>
      <c r="K99"/>
      <c r="L99"/>
      <c r="M99"/>
      <c r="N99"/>
    </row>
    <row r="100" spans="1:14" ht="16.5" thickBot="1" x14ac:dyDescent="0.3">
      <c r="A100" s="62" t="s">
        <v>98</v>
      </c>
      <c r="B100" s="92">
        <f>B82</f>
        <v>2020</v>
      </c>
      <c r="C100" s="308"/>
      <c r="D100" s="308"/>
      <c r="E100" s="318">
        <f t="shared" si="15"/>
        <v>2070</v>
      </c>
      <c r="F100" s="308">
        <f>F82</f>
        <v>89.999999999999986</v>
      </c>
      <c r="G100" s="309">
        <f>Taulukko2245[[#This Row],[Laskennallinen opettajaresurssi 2029-2030]]-Taulukko2245[[#This Row],[Todellinen päätoimisten opettajien määrä]]</f>
        <v>89.999999999999986</v>
      </c>
      <c r="H100" s="310">
        <f t="shared" si="16"/>
        <v>2050</v>
      </c>
      <c r="I100" s="310">
        <f t="shared" si="16"/>
        <v>144.36619718309859</v>
      </c>
      <c r="J100" s="311">
        <f t="shared" si="16"/>
        <v>20.366197183098599</v>
      </c>
      <c r="K100"/>
      <c r="L100"/>
      <c r="M100"/>
      <c r="N100"/>
    </row>
    <row r="101" spans="1:14" ht="16.5" thickTop="1" x14ac:dyDescent="0.25">
      <c r="A101" s="55" t="s">
        <v>89</v>
      </c>
      <c r="B101" s="56">
        <f>B86+B89+B92+B95+B98</f>
        <v>11099</v>
      </c>
      <c r="C101" s="302">
        <f>C86+C89+C92+C95+C98</f>
        <v>783.6</v>
      </c>
      <c r="D101" s="302">
        <f>Taulukko2245[[#This Row],[Oppilasmäärä lv.  2024-2025]]/Taulukko2245[[#This Row],[Todellinen päätoimisten opettajien määrä]]</f>
        <v>14.164114344053088</v>
      </c>
      <c r="E101" s="319">
        <f t="shared" ref="C101:F103" si="17">E86+E89+E92+E95+E98</f>
        <v>10140</v>
      </c>
      <c r="F101" s="312">
        <f>F86+F89+F92+F95+F98</f>
        <v>714.08450704225356</v>
      </c>
      <c r="G101" s="304">
        <f>Taulukko2245[[#This Row],[Laskennallinen opettajaresurssi 2029-2030]]-Taulukko2245[[#This Row],[Todellinen päätoimisten opettajien määrä]]</f>
        <v>-69.51549295774646</v>
      </c>
      <c r="H101" s="302">
        <f>H86+H89+H92+H95+H98</f>
        <v>10170</v>
      </c>
      <c r="I101" s="302">
        <f t="shared" ref="I101:I103" si="18">I86+I89+I92+I95+I98</f>
        <v>716.19718309859161</v>
      </c>
      <c r="J101" s="306">
        <f>L20+L33+L43+L58+L80</f>
        <v>-67.402816901408372</v>
      </c>
      <c r="K101"/>
      <c r="L101"/>
      <c r="M101"/>
      <c r="N101"/>
    </row>
    <row r="102" spans="1:14" ht="15.75" x14ac:dyDescent="0.25">
      <c r="A102" s="49" t="s">
        <v>97</v>
      </c>
      <c r="B102" s="56">
        <f>B87+B90+B93+B96+B99</f>
        <v>7357</v>
      </c>
      <c r="C102" s="302">
        <f t="shared" si="17"/>
        <v>0</v>
      </c>
      <c r="D102" s="302"/>
      <c r="E102" s="319">
        <f t="shared" si="17"/>
        <v>6490</v>
      </c>
      <c r="F102" s="312">
        <f t="shared" si="17"/>
        <v>460.27556644213109</v>
      </c>
      <c r="G102" s="289">
        <f>Taulukko2245[[#This Row],[Laskennallinen opettajaresurssi 2029-2030]]-Taulukko2245[[#This Row],[Todellinen päätoimisten opettajien määrä]]</f>
        <v>460.27556644213109</v>
      </c>
      <c r="H102" s="302">
        <f>H87+H90+H93+H96+H99</f>
        <v>6740</v>
      </c>
      <c r="I102" s="302">
        <f t="shared" si="18"/>
        <v>474.64788732394368</v>
      </c>
      <c r="J102" s="291">
        <f>L21+L34+L44+L59+L81</f>
        <v>474.64788732394368</v>
      </c>
      <c r="K102"/>
      <c r="L102"/>
      <c r="M102"/>
      <c r="N102"/>
    </row>
    <row r="103" spans="1:14" ht="15.75" x14ac:dyDescent="0.25">
      <c r="A103" s="63" t="s">
        <v>98</v>
      </c>
      <c r="B103" s="56">
        <f>B88+B91+B94+B97+B100</f>
        <v>3742</v>
      </c>
      <c r="C103" s="302"/>
      <c r="D103" s="302"/>
      <c r="E103" s="319">
        <f t="shared" si="17"/>
        <v>3650</v>
      </c>
      <c r="F103" s="312">
        <f t="shared" si="17"/>
        <v>161.12063686466627</v>
      </c>
      <c r="G103" s="289">
        <f>Taulukko2245[[#This Row],[Laskennallinen opettajaresurssi 2029-2030]]-Taulukko2245[[#This Row],[Todellinen päätoimisten opettajien määrä]]</f>
        <v>161.12063686466627</v>
      </c>
      <c r="H103" s="302">
        <f>H88+H91+H94+H97+H100</f>
        <v>3430</v>
      </c>
      <c r="I103" s="302">
        <f t="shared" si="18"/>
        <v>204.36619718309859</v>
      </c>
      <c r="J103" s="291">
        <f>L22+L35+L45+L60+L82</f>
        <v>41.970606246172693</v>
      </c>
      <c r="K103"/>
      <c r="L103"/>
      <c r="M103"/>
      <c r="N103"/>
    </row>
    <row r="105" spans="1:14" x14ac:dyDescent="0.25">
      <c r="D105" s="48"/>
      <c r="F105" s="48"/>
      <c r="G105" s="48"/>
    </row>
    <row r="111" spans="1:14" x14ac:dyDescent="0.25">
      <c r="E111" s="284"/>
      <c r="F111" s="285"/>
      <c r="G111" s="285"/>
      <c r="H111" s="286"/>
    </row>
    <row r="112" spans="1:14" x14ac:dyDescent="0.25">
      <c r="E112" s="284"/>
      <c r="F112" s="285"/>
      <c r="G112" s="285"/>
      <c r="H112" s="286"/>
    </row>
    <row r="113" spans="5:8" x14ac:dyDescent="0.25">
      <c r="E113" s="284"/>
      <c r="F113" s="285"/>
      <c r="G113" s="285"/>
      <c r="H113" s="286"/>
    </row>
  </sheetData>
  <mergeCells count="3">
    <mergeCell ref="I1:N1"/>
    <mergeCell ref="A1:H1"/>
    <mergeCell ref="F2:L2"/>
  </mergeCells>
  <phoneticPr fontId="4" type="noConversion"/>
  <pageMargins left="0.7" right="0.7" top="0.75" bottom="0.75" header="0.3" footer="0.3"/>
  <pageSetup paperSize="9" orientation="portrait" verticalDpi="0" r:id="rId1"/>
  <legacy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FA3BD-378F-4DEA-8EEF-335B4EE95122}">
  <dimension ref="A1:AL20"/>
  <sheetViews>
    <sheetView workbookViewId="0">
      <selection activeCell="G27" sqref="G27"/>
    </sheetView>
  </sheetViews>
  <sheetFormatPr defaultRowHeight="15" x14ac:dyDescent="0.25"/>
  <cols>
    <col min="1" max="1" width="43.7109375" customWidth="1"/>
    <col min="2" max="2" width="8.85546875" customWidth="1"/>
    <col min="3" max="3" width="10.5703125" customWidth="1"/>
    <col min="4" max="4" width="10.28515625" customWidth="1"/>
    <col min="5" max="5" width="13.28515625" customWidth="1"/>
    <col min="6" max="6" width="10.140625" customWidth="1"/>
    <col min="7" max="7" width="13.5703125" customWidth="1"/>
    <col min="8" max="8" width="14.28515625" customWidth="1"/>
    <col min="9" max="9" width="13.5703125" customWidth="1"/>
    <col min="10" max="10" width="12" customWidth="1"/>
    <col min="11" max="11" width="15.140625" customWidth="1"/>
    <col min="12" max="12" width="37.85546875" customWidth="1"/>
    <col min="13" max="13" width="13" customWidth="1"/>
    <col min="14" max="14" width="14.42578125" customWidth="1"/>
    <col min="15" max="16" width="8.85546875" customWidth="1"/>
    <col min="17" max="17" width="10.28515625" customWidth="1"/>
    <col min="18" max="18" width="12.5703125" customWidth="1"/>
    <col min="19" max="19" width="11.28515625" bestFit="1" customWidth="1"/>
    <col min="20" max="20" width="10.7109375" customWidth="1"/>
    <col min="21" max="30" width="11.85546875" customWidth="1"/>
  </cols>
  <sheetData>
    <row r="1" spans="1:38" x14ac:dyDescent="0.25">
      <c r="A1" t="s">
        <v>126</v>
      </c>
    </row>
    <row r="2" spans="1:38" x14ac:dyDescent="0.25">
      <c r="B2" s="408" t="s">
        <v>182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38" ht="15.75" thickBot="1" x14ac:dyDescent="0.3">
      <c r="A3" t="s">
        <v>127</v>
      </c>
      <c r="T3" s="404" t="s">
        <v>181</v>
      </c>
      <c r="U3" s="404"/>
      <c r="V3" s="404"/>
      <c r="W3" s="404"/>
      <c r="X3" s="404"/>
      <c r="Y3" s="404"/>
      <c r="Z3" s="404"/>
      <c r="AA3" s="404"/>
      <c r="AB3" s="404"/>
      <c r="AC3" s="404"/>
    </row>
    <row r="4" spans="1:38" ht="60" x14ac:dyDescent="0.25">
      <c r="A4" s="382" t="s">
        <v>128</v>
      </c>
      <c r="B4" s="383" t="s">
        <v>129</v>
      </c>
      <c r="C4" s="383" t="s">
        <v>130</v>
      </c>
      <c r="D4" s="383" t="s">
        <v>131</v>
      </c>
      <c r="E4" s="383" t="s">
        <v>132</v>
      </c>
      <c r="F4" s="383" t="s">
        <v>133</v>
      </c>
      <c r="G4" s="383" t="s">
        <v>134</v>
      </c>
      <c r="H4" s="383" t="s">
        <v>135</v>
      </c>
      <c r="I4" s="383" t="s">
        <v>136</v>
      </c>
      <c r="J4" s="383" t="s">
        <v>137</v>
      </c>
      <c r="K4" s="383" t="s">
        <v>138</v>
      </c>
      <c r="L4" s="383" t="s">
        <v>139</v>
      </c>
      <c r="M4" s="383" t="s">
        <v>140</v>
      </c>
      <c r="N4" s="384" t="s">
        <v>141</v>
      </c>
      <c r="O4" s="385" t="s">
        <v>142</v>
      </c>
      <c r="P4" s="386" t="s">
        <v>143</v>
      </c>
      <c r="Q4" s="386" t="s">
        <v>144</v>
      </c>
      <c r="R4" s="386" t="s">
        <v>145</v>
      </c>
      <c r="S4" s="386" t="s">
        <v>146</v>
      </c>
      <c r="T4" s="386" t="s">
        <v>147</v>
      </c>
      <c r="U4" s="386" t="s">
        <v>148</v>
      </c>
      <c r="V4" s="386" t="s">
        <v>149</v>
      </c>
      <c r="W4" s="386" t="s">
        <v>150</v>
      </c>
      <c r="X4" s="386" t="s">
        <v>151</v>
      </c>
      <c r="Y4" s="386" t="s">
        <v>152</v>
      </c>
      <c r="Z4" s="386" t="s">
        <v>153</v>
      </c>
      <c r="AA4" s="386" t="s">
        <v>154</v>
      </c>
      <c r="AB4" s="386" t="s">
        <v>155</v>
      </c>
      <c r="AC4" s="386" t="s">
        <v>156</v>
      </c>
      <c r="AD4" s="386" t="s">
        <v>157</v>
      </c>
    </row>
    <row r="5" spans="1:38" ht="60" x14ac:dyDescent="0.25">
      <c r="A5" s="387" t="s">
        <v>158</v>
      </c>
      <c r="B5" s="388"/>
      <c r="C5" s="389">
        <v>14059.67</v>
      </c>
      <c r="D5" s="389">
        <v>328</v>
      </c>
      <c r="E5" s="389">
        <v>23145</v>
      </c>
      <c r="F5" s="389">
        <v>3160</v>
      </c>
      <c r="G5" s="389">
        <f>C5+D5</f>
        <v>14387.67</v>
      </c>
      <c r="H5" s="390">
        <f>E5*12</f>
        <v>277740</v>
      </c>
      <c r="I5" s="390">
        <f>F5*12</f>
        <v>37920</v>
      </c>
      <c r="J5" s="390">
        <f>H5+I5</f>
        <v>315660</v>
      </c>
      <c r="K5" s="389">
        <f>C5+D5+E5+F5</f>
        <v>40692.67</v>
      </c>
      <c r="L5" s="391" t="s">
        <v>159</v>
      </c>
      <c r="M5" s="388"/>
      <c r="N5" s="392"/>
      <c r="P5">
        <v>2027</v>
      </c>
      <c r="Q5" s="393">
        <f>-V5</f>
        <v>-539110</v>
      </c>
      <c r="R5" s="394">
        <v>1035022</v>
      </c>
      <c r="S5" s="394">
        <v>165304</v>
      </c>
      <c r="T5" s="393">
        <f>R5-S5</f>
        <v>869718</v>
      </c>
      <c r="U5" s="393">
        <f>T5-$S5</f>
        <v>704414</v>
      </c>
      <c r="V5" s="393">
        <f t="shared" ref="U5:AD9" si="0">U5-$S5</f>
        <v>539110</v>
      </c>
      <c r="W5" s="393">
        <f t="shared" si="0"/>
        <v>373806</v>
      </c>
      <c r="X5" s="393">
        <f t="shared" si="0"/>
        <v>208502</v>
      </c>
      <c r="Y5" s="393">
        <f>X5-$S5</f>
        <v>43198</v>
      </c>
      <c r="Z5" s="393"/>
      <c r="AA5" s="393"/>
      <c r="AB5" s="393"/>
      <c r="AC5" s="393"/>
      <c r="AD5" s="393"/>
    </row>
    <row r="6" spans="1:38" ht="15.75" x14ac:dyDescent="0.25">
      <c r="A6" s="387" t="s">
        <v>160</v>
      </c>
      <c r="B6" s="388">
        <v>1330</v>
      </c>
      <c r="C6" s="389">
        <v>4414</v>
      </c>
      <c r="D6" s="389">
        <v>124</v>
      </c>
      <c r="E6" s="389">
        <v>9031</v>
      </c>
      <c r="F6" s="389">
        <v>2189</v>
      </c>
      <c r="G6" s="389">
        <f t="shared" ref="G6:G17" si="1">C6+D6</f>
        <v>4538</v>
      </c>
      <c r="H6" s="390">
        <f t="shared" ref="H6:I17" si="2">E6*12</f>
        <v>108372</v>
      </c>
      <c r="I6" s="390">
        <f t="shared" si="2"/>
        <v>26268</v>
      </c>
      <c r="J6" s="390">
        <f>H6+I6</f>
        <v>134640</v>
      </c>
      <c r="K6" s="389">
        <f>C6+D6+E6+F6</f>
        <v>15758</v>
      </c>
      <c r="L6" s="391" t="s">
        <v>161</v>
      </c>
      <c r="M6" s="395">
        <v>93000</v>
      </c>
      <c r="N6" s="396">
        <v>2434500</v>
      </c>
      <c r="O6" s="2">
        <f>M6/B6</f>
        <v>69.924812030075188</v>
      </c>
      <c r="P6">
        <v>2026</v>
      </c>
      <c r="Q6" s="393">
        <f>-U6</f>
        <v>-435268</v>
      </c>
      <c r="R6" s="394">
        <v>540144</v>
      </c>
      <c r="S6" s="394">
        <v>52438</v>
      </c>
      <c r="T6" s="393">
        <f t="shared" ref="T6:T17" si="3">R6-S6</f>
        <v>487706</v>
      </c>
      <c r="U6" s="393">
        <f t="shared" si="0"/>
        <v>435268</v>
      </c>
      <c r="V6" s="393">
        <f t="shared" si="0"/>
        <v>382830</v>
      </c>
      <c r="W6" s="393">
        <f t="shared" si="0"/>
        <v>330392</v>
      </c>
      <c r="X6" s="393">
        <f t="shared" si="0"/>
        <v>277954</v>
      </c>
      <c r="Y6" s="393">
        <f t="shared" si="0"/>
        <v>225516</v>
      </c>
      <c r="Z6" s="393">
        <f>Y6-$S6</f>
        <v>173078</v>
      </c>
      <c r="AA6" s="393">
        <f>Z6-$S6</f>
        <v>120640</v>
      </c>
      <c r="AB6" s="393">
        <f>AA6-$S6</f>
        <v>68202</v>
      </c>
      <c r="AC6" s="393">
        <f>AB6-$S6</f>
        <v>15764</v>
      </c>
      <c r="AD6" s="393"/>
    </row>
    <row r="7" spans="1:38" ht="15.75" x14ac:dyDescent="0.25">
      <c r="A7" s="387" t="s">
        <v>162</v>
      </c>
      <c r="B7" s="388">
        <v>2269</v>
      </c>
      <c r="C7" s="389">
        <v>13246.47</v>
      </c>
      <c r="D7" s="389">
        <v>49</v>
      </c>
      <c r="E7" s="389">
        <v>6880</v>
      </c>
      <c r="F7" s="389">
        <v>2475</v>
      </c>
      <c r="G7" s="389">
        <f t="shared" si="1"/>
        <v>13295.47</v>
      </c>
      <c r="H7" s="390">
        <f t="shared" si="2"/>
        <v>82560</v>
      </c>
      <c r="I7" s="390">
        <f t="shared" si="2"/>
        <v>29700</v>
      </c>
      <c r="J7" s="390">
        <f t="shared" ref="J7:J17" si="4">H7+I7</f>
        <v>112260</v>
      </c>
      <c r="K7" s="389">
        <f>C7+D7+E7+F7</f>
        <v>22650.47</v>
      </c>
      <c r="L7" s="391" t="s">
        <v>163</v>
      </c>
      <c r="M7" s="395">
        <v>159000</v>
      </c>
      <c r="N7" s="396">
        <v>0</v>
      </c>
      <c r="O7" s="2">
        <f t="shared" ref="O7:O15" si="5">M7/B7</f>
        <v>70.074922873512563</v>
      </c>
      <c r="P7">
        <v>2026</v>
      </c>
      <c r="Q7" s="393">
        <f>-U7</f>
        <v>-1968361</v>
      </c>
      <c r="R7" s="394">
        <v>2181407</v>
      </c>
      <c r="S7" s="394">
        <v>106523</v>
      </c>
      <c r="T7" s="393">
        <f t="shared" si="3"/>
        <v>2074884</v>
      </c>
      <c r="U7" s="393">
        <f t="shared" si="0"/>
        <v>1968361</v>
      </c>
      <c r="V7" s="393">
        <f t="shared" si="0"/>
        <v>1861838</v>
      </c>
      <c r="W7" s="393">
        <f t="shared" si="0"/>
        <v>1755315</v>
      </c>
      <c r="X7" s="393">
        <f t="shared" si="0"/>
        <v>1648792</v>
      </c>
      <c r="Y7" s="393">
        <f t="shared" si="0"/>
        <v>1542269</v>
      </c>
      <c r="Z7" s="393">
        <f t="shared" si="0"/>
        <v>1435746</v>
      </c>
      <c r="AA7" s="393">
        <f t="shared" si="0"/>
        <v>1329223</v>
      </c>
      <c r="AB7" s="393">
        <f t="shared" si="0"/>
        <v>1222700</v>
      </c>
      <c r="AC7" s="393">
        <f t="shared" si="0"/>
        <v>1116177</v>
      </c>
      <c r="AD7" s="393">
        <f t="shared" si="0"/>
        <v>1009654</v>
      </c>
    </row>
    <row r="8" spans="1:38" ht="15.75" x14ac:dyDescent="0.25">
      <c r="A8" s="387" t="s">
        <v>164</v>
      </c>
      <c r="B8" s="388">
        <v>961</v>
      </c>
      <c r="C8" s="389">
        <v>2756.05</v>
      </c>
      <c r="D8" s="389">
        <v>174</v>
      </c>
      <c r="E8" s="389">
        <v>5476</v>
      </c>
      <c r="F8" s="389">
        <v>1496</v>
      </c>
      <c r="G8" s="389">
        <f t="shared" si="1"/>
        <v>2930.05</v>
      </c>
      <c r="H8" s="390">
        <f t="shared" si="2"/>
        <v>65712</v>
      </c>
      <c r="I8" s="390">
        <f t="shared" si="2"/>
        <v>17952</v>
      </c>
      <c r="J8" s="390">
        <f t="shared" si="4"/>
        <v>83664</v>
      </c>
      <c r="K8" s="389">
        <f>C8+D8+E8+F8</f>
        <v>9902.0499999999993</v>
      </c>
      <c r="L8" s="391" t="s">
        <v>163</v>
      </c>
      <c r="M8" s="395">
        <v>77000</v>
      </c>
      <c r="N8" s="396">
        <v>1078650</v>
      </c>
      <c r="O8" s="2">
        <f t="shared" si="5"/>
        <v>80.12486992715921</v>
      </c>
      <c r="P8">
        <v>2026</v>
      </c>
      <c r="Q8" s="393">
        <f>-U8</f>
        <v>-107389</v>
      </c>
      <c r="R8" s="394">
        <v>132701</v>
      </c>
      <c r="S8" s="394">
        <v>12656</v>
      </c>
      <c r="T8" s="393">
        <f t="shared" si="3"/>
        <v>120045</v>
      </c>
      <c r="U8" s="393">
        <f t="shared" si="0"/>
        <v>107389</v>
      </c>
      <c r="V8" s="393">
        <f t="shared" si="0"/>
        <v>94733</v>
      </c>
      <c r="W8" s="393">
        <f t="shared" si="0"/>
        <v>82077</v>
      </c>
      <c r="X8" s="393">
        <f t="shared" si="0"/>
        <v>69421</v>
      </c>
      <c r="Y8" s="393">
        <f t="shared" si="0"/>
        <v>56765</v>
      </c>
      <c r="Z8" s="393">
        <f t="shared" si="0"/>
        <v>44109</v>
      </c>
      <c r="AA8" s="393">
        <f t="shared" si="0"/>
        <v>31453</v>
      </c>
      <c r="AB8" s="393">
        <f>AA8-$S8</f>
        <v>18797</v>
      </c>
      <c r="AC8" s="393">
        <f>AB8-$S8</f>
        <v>6141</v>
      </c>
      <c r="AD8" s="393"/>
    </row>
    <row r="9" spans="1:38" ht="15.75" x14ac:dyDescent="0.25">
      <c r="A9" s="387" t="s">
        <v>165</v>
      </c>
      <c r="B9" s="388">
        <v>1300</v>
      </c>
      <c r="C9" s="389">
        <v>9460.2000000000007</v>
      </c>
      <c r="D9" s="389">
        <v>93.84</v>
      </c>
      <c r="E9" s="389">
        <v>5042</v>
      </c>
      <c r="F9" s="389">
        <v>1363.58</v>
      </c>
      <c r="G9" s="389">
        <f t="shared" si="1"/>
        <v>9554.0400000000009</v>
      </c>
      <c r="H9" s="390">
        <f t="shared" si="2"/>
        <v>60504</v>
      </c>
      <c r="I9" s="390">
        <f t="shared" si="2"/>
        <v>16362.96</v>
      </c>
      <c r="J9" s="390">
        <f t="shared" si="4"/>
        <v>76866.959999999992</v>
      </c>
      <c r="K9" s="389">
        <f t="shared" ref="K9:K17" si="6">C9+D9+E9+F9</f>
        <v>15959.62</v>
      </c>
      <c r="L9" s="391" t="s">
        <v>166</v>
      </c>
      <c r="M9" s="395"/>
      <c r="N9" s="396">
        <v>0</v>
      </c>
      <c r="O9" s="2"/>
      <c r="P9">
        <v>2026</v>
      </c>
      <c r="Q9" s="393">
        <f>-U9</f>
        <v>-1273854</v>
      </c>
      <c r="R9" s="394">
        <v>1518960</v>
      </c>
      <c r="S9" s="394">
        <v>122553</v>
      </c>
      <c r="T9" s="393">
        <f t="shared" si="3"/>
        <v>1396407</v>
      </c>
      <c r="U9" s="393">
        <f t="shared" si="0"/>
        <v>1273854</v>
      </c>
      <c r="V9" s="393">
        <f t="shared" si="0"/>
        <v>1151301</v>
      </c>
      <c r="W9" s="393">
        <f t="shared" si="0"/>
        <v>1028748</v>
      </c>
      <c r="X9" s="393">
        <f t="shared" si="0"/>
        <v>906195</v>
      </c>
      <c r="Y9" s="393">
        <f t="shared" si="0"/>
        <v>783642</v>
      </c>
      <c r="Z9" s="393">
        <f t="shared" si="0"/>
        <v>661089</v>
      </c>
      <c r="AA9" s="393">
        <f t="shared" si="0"/>
        <v>538536</v>
      </c>
      <c r="AB9" s="393">
        <f t="shared" si="0"/>
        <v>415983</v>
      </c>
      <c r="AC9" s="393">
        <f t="shared" si="0"/>
        <v>293430</v>
      </c>
      <c r="AD9" s="393">
        <f t="shared" si="0"/>
        <v>170877</v>
      </c>
    </row>
    <row r="10" spans="1:38" ht="45" x14ac:dyDescent="0.25">
      <c r="A10" s="387" t="s">
        <v>167</v>
      </c>
      <c r="B10" s="388"/>
      <c r="C10" s="389"/>
      <c r="D10" s="389"/>
      <c r="E10" s="389"/>
      <c r="F10" s="389"/>
      <c r="G10" s="389">
        <f t="shared" si="1"/>
        <v>0</v>
      </c>
      <c r="H10" s="390">
        <f t="shared" si="2"/>
        <v>0</v>
      </c>
      <c r="I10" s="390">
        <f t="shared" si="2"/>
        <v>0</v>
      </c>
      <c r="J10" s="390">
        <f t="shared" si="4"/>
        <v>0</v>
      </c>
      <c r="K10" s="389">
        <f t="shared" si="6"/>
        <v>0</v>
      </c>
      <c r="L10" s="391" t="s">
        <v>168</v>
      </c>
      <c r="M10" s="395"/>
      <c r="N10" s="396"/>
      <c r="O10" s="2"/>
      <c r="P10" s="4" t="s">
        <v>169</v>
      </c>
      <c r="Q10" s="393">
        <f>V10</f>
        <v>0</v>
      </c>
      <c r="R10" s="394">
        <f>54718+23458</f>
        <v>78176</v>
      </c>
      <c r="S10" s="394">
        <f>13640+13992</f>
        <v>27632</v>
      </c>
      <c r="T10" s="393">
        <f t="shared" si="3"/>
        <v>50544</v>
      </c>
      <c r="U10" s="393">
        <f>T10-$S10</f>
        <v>22912</v>
      </c>
      <c r="V10" s="393">
        <v>0</v>
      </c>
      <c r="W10" s="393"/>
      <c r="X10" s="393"/>
      <c r="Y10" s="393"/>
      <c r="Z10" s="393"/>
      <c r="AA10" s="393"/>
      <c r="AB10" s="393"/>
      <c r="AC10" s="393"/>
      <c r="AD10" s="393"/>
    </row>
    <row r="11" spans="1:38" ht="75" x14ac:dyDescent="0.25">
      <c r="A11" s="387" t="s">
        <v>170</v>
      </c>
      <c r="B11" s="388">
        <f>1546+480+227</f>
        <v>2253</v>
      </c>
      <c r="C11" s="389">
        <f>12732.21+3484.43+2240.57</f>
        <v>18457.21</v>
      </c>
      <c r="D11" s="389">
        <f>143+143+59</f>
        <v>345</v>
      </c>
      <c r="E11" s="389">
        <f>6989+2825+710</f>
        <v>10524</v>
      </c>
      <c r="F11" s="389">
        <f>2618+909+316</f>
        <v>3843</v>
      </c>
      <c r="G11" s="389">
        <f t="shared" si="1"/>
        <v>18802.21</v>
      </c>
      <c r="H11" s="390">
        <f t="shared" si="2"/>
        <v>126288</v>
      </c>
      <c r="I11" s="390">
        <f t="shared" si="2"/>
        <v>46116</v>
      </c>
      <c r="J11" s="390">
        <f t="shared" si="4"/>
        <v>172404</v>
      </c>
      <c r="K11" s="389">
        <f t="shared" si="6"/>
        <v>33169.21</v>
      </c>
      <c r="L11" s="391" t="s">
        <v>171</v>
      </c>
      <c r="M11" s="395">
        <v>50600</v>
      </c>
      <c r="N11" s="396">
        <v>249690</v>
      </c>
      <c r="O11" s="2">
        <f t="shared" si="5"/>
        <v>22.458943630714604</v>
      </c>
      <c r="P11">
        <v>2028</v>
      </c>
      <c r="Q11" s="393">
        <f>-W11</f>
        <v>-490314</v>
      </c>
      <c r="R11" s="394">
        <f>410139+482432+12346+134325</f>
        <v>1039242</v>
      </c>
      <c r="S11" s="394">
        <f>474+26765+20443+89550</f>
        <v>137232</v>
      </c>
      <c r="T11" s="393">
        <f t="shared" si="3"/>
        <v>902010</v>
      </c>
      <c r="U11" s="393">
        <f>T11-$S11</f>
        <v>764778</v>
      </c>
      <c r="V11" s="393">
        <f t="shared" ref="V11:AD12" si="7">U11-$S11</f>
        <v>627546</v>
      </c>
      <c r="W11" s="393">
        <f t="shared" si="7"/>
        <v>490314</v>
      </c>
      <c r="X11" s="393">
        <f t="shared" si="7"/>
        <v>353082</v>
      </c>
      <c r="Y11" s="393">
        <f t="shared" si="7"/>
        <v>215850</v>
      </c>
      <c r="Z11" s="393">
        <f t="shared" si="7"/>
        <v>78618</v>
      </c>
      <c r="AA11" s="393">
        <f t="shared" si="7"/>
        <v>-58614</v>
      </c>
      <c r="AB11" s="393">
        <f t="shared" si="7"/>
        <v>-195846</v>
      </c>
      <c r="AC11" s="393">
        <f t="shared" si="7"/>
        <v>-333078</v>
      </c>
      <c r="AD11" s="393">
        <f t="shared" si="7"/>
        <v>-470310</v>
      </c>
      <c r="AI11">
        <f>245607+28022</f>
        <v>273629</v>
      </c>
      <c r="AJ11">
        <f>21378+5899</f>
        <v>27277</v>
      </c>
    </row>
    <row r="12" spans="1:38" ht="15.75" x14ac:dyDescent="0.25">
      <c r="A12" s="387" t="s">
        <v>172</v>
      </c>
      <c r="B12" s="388">
        <v>161.4</v>
      </c>
      <c r="C12" s="389">
        <v>2158</v>
      </c>
      <c r="D12" s="389">
        <v>17.09</v>
      </c>
      <c r="E12" s="389">
        <v>778</v>
      </c>
      <c r="F12" s="389">
        <v>348.06</v>
      </c>
      <c r="G12" s="389">
        <f t="shared" si="1"/>
        <v>2175.09</v>
      </c>
      <c r="H12" s="390">
        <f t="shared" si="2"/>
        <v>9336</v>
      </c>
      <c r="I12" s="390">
        <f t="shared" si="2"/>
        <v>4176.72</v>
      </c>
      <c r="J12" s="390">
        <f t="shared" si="4"/>
        <v>13512.720000000001</v>
      </c>
      <c r="K12" s="389">
        <f t="shared" si="6"/>
        <v>3301.15</v>
      </c>
      <c r="L12" s="391" t="s">
        <v>173</v>
      </c>
      <c r="M12" s="395"/>
      <c r="N12" s="396"/>
      <c r="O12" s="2">
        <f t="shared" si="5"/>
        <v>0</v>
      </c>
      <c r="P12">
        <v>2026</v>
      </c>
      <c r="Q12" s="393">
        <f>-U12</f>
        <v>-83441</v>
      </c>
      <c r="R12" s="394">
        <v>89859</v>
      </c>
      <c r="S12" s="394">
        <v>3209</v>
      </c>
      <c r="T12" s="393">
        <f t="shared" si="3"/>
        <v>86650</v>
      </c>
      <c r="U12" s="393">
        <f>T12-$S12</f>
        <v>83441</v>
      </c>
      <c r="V12" s="393">
        <f t="shared" si="7"/>
        <v>80232</v>
      </c>
      <c r="W12" s="393">
        <f t="shared" si="7"/>
        <v>77023</v>
      </c>
      <c r="X12" s="393">
        <f t="shared" si="7"/>
        <v>73814</v>
      </c>
      <c r="Y12" s="393">
        <f t="shared" si="7"/>
        <v>70605</v>
      </c>
      <c r="Z12" s="393">
        <f t="shared" si="7"/>
        <v>67396</v>
      </c>
      <c r="AA12" s="393">
        <f t="shared" si="7"/>
        <v>64187</v>
      </c>
      <c r="AB12" s="393">
        <f t="shared" si="7"/>
        <v>60978</v>
      </c>
      <c r="AC12" s="393">
        <f t="shared" si="7"/>
        <v>57769</v>
      </c>
      <c r="AD12" s="393">
        <f t="shared" si="7"/>
        <v>54560</v>
      </c>
    </row>
    <row r="13" spans="1:38" ht="15.75" x14ac:dyDescent="0.25">
      <c r="A13" s="387" t="s">
        <v>174</v>
      </c>
      <c r="B13" s="388">
        <f>1006+480</f>
        <v>1486</v>
      </c>
      <c r="C13" s="389">
        <f>8218.24+3047.56</f>
        <v>11265.8</v>
      </c>
      <c r="D13" s="389">
        <f>59+47</f>
        <v>106</v>
      </c>
      <c r="E13" s="389">
        <f>7333+7001</f>
        <v>14334</v>
      </c>
      <c r="F13" s="389">
        <f>1187+834</f>
        <v>2021</v>
      </c>
      <c r="G13" s="389">
        <f t="shared" si="1"/>
        <v>11371.8</v>
      </c>
      <c r="H13" s="390">
        <f t="shared" si="2"/>
        <v>172008</v>
      </c>
      <c r="I13" s="390">
        <f t="shared" si="2"/>
        <v>24252</v>
      </c>
      <c r="J13" s="390">
        <f t="shared" si="4"/>
        <v>196260</v>
      </c>
      <c r="K13" s="389">
        <f t="shared" si="6"/>
        <v>27726.799999999999</v>
      </c>
      <c r="L13" s="391" t="s">
        <v>175</v>
      </c>
      <c r="M13" s="395">
        <v>76500</v>
      </c>
      <c r="N13" s="396">
        <v>1086000</v>
      </c>
      <c r="O13" s="2">
        <f t="shared" si="5"/>
        <v>51.48048452220727</v>
      </c>
      <c r="P13">
        <v>2028</v>
      </c>
      <c r="Q13" s="393">
        <f>W13</f>
        <v>0</v>
      </c>
      <c r="R13" s="394">
        <f>45923</f>
        <v>45923</v>
      </c>
      <c r="S13" s="394">
        <v>18137</v>
      </c>
      <c r="T13" s="393">
        <f t="shared" si="3"/>
        <v>27786</v>
      </c>
      <c r="U13" s="393">
        <f>T13-$S13</f>
        <v>9649</v>
      </c>
      <c r="V13" s="393">
        <v>0</v>
      </c>
      <c r="W13" s="393"/>
      <c r="X13" s="393"/>
      <c r="Y13" s="393"/>
      <c r="Z13" s="393"/>
      <c r="AA13" s="393"/>
      <c r="AB13" s="393"/>
      <c r="AC13" s="393"/>
      <c r="AD13" s="393"/>
      <c r="AI13">
        <v>89304</v>
      </c>
      <c r="AJ13">
        <v>43793</v>
      </c>
      <c r="AK13">
        <v>4393</v>
      </c>
      <c r="AL13">
        <v>10545</v>
      </c>
    </row>
    <row r="14" spans="1:38" ht="15.75" x14ac:dyDescent="0.25">
      <c r="A14" s="387" t="s">
        <v>176</v>
      </c>
      <c r="B14" s="388">
        <f>291+2028</f>
        <v>2319</v>
      </c>
      <c r="C14" s="389">
        <f>3413.75+24864.23</f>
        <v>28277.98</v>
      </c>
      <c r="D14" s="389">
        <f>29+197</f>
        <v>226</v>
      </c>
      <c r="E14" s="389">
        <f>1445+7625</f>
        <v>9070</v>
      </c>
      <c r="F14" s="389">
        <f>571+2828</f>
        <v>3399</v>
      </c>
      <c r="G14" s="389">
        <f t="shared" si="1"/>
        <v>28503.98</v>
      </c>
      <c r="H14" s="390">
        <f t="shared" si="2"/>
        <v>108840</v>
      </c>
      <c r="I14" s="390">
        <f t="shared" si="2"/>
        <v>40788</v>
      </c>
      <c r="J14" s="390">
        <f t="shared" si="4"/>
        <v>149628</v>
      </c>
      <c r="K14" s="389">
        <f t="shared" si="6"/>
        <v>40972.979999999996</v>
      </c>
      <c r="L14" s="391" t="s">
        <v>166</v>
      </c>
      <c r="M14" s="395"/>
      <c r="N14" s="396">
        <v>0</v>
      </c>
      <c r="O14" s="2">
        <f t="shared" si="5"/>
        <v>0</v>
      </c>
      <c r="P14">
        <v>2031</v>
      </c>
      <c r="Q14" s="393">
        <f>-Z14</f>
        <v>-2677188</v>
      </c>
      <c r="R14" s="394">
        <v>3991438</v>
      </c>
      <c r="S14" s="394">
        <v>187750</v>
      </c>
      <c r="T14" s="393">
        <f t="shared" si="3"/>
        <v>3803688</v>
      </c>
      <c r="U14" s="393">
        <f>T14-$S14</f>
        <v>3615938</v>
      </c>
      <c r="V14" s="393">
        <f t="shared" ref="V14:AD14" si="8">U14-$S14</f>
        <v>3428188</v>
      </c>
      <c r="W14" s="393">
        <f t="shared" si="8"/>
        <v>3240438</v>
      </c>
      <c r="X14" s="393">
        <f t="shared" si="8"/>
        <v>3052688</v>
      </c>
      <c r="Y14" s="393">
        <f t="shared" si="8"/>
        <v>2864938</v>
      </c>
      <c r="Z14" s="393">
        <f t="shared" si="8"/>
        <v>2677188</v>
      </c>
      <c r="AA14" s="393">
        <f t="shared" si="8"/>
        <v>2489438</v>
      </c>
      <c r="AB14" s="393">
        <f t="shared" si="8"/>
        <v>2301688</v>
      </c>
      <c r="AC14" s="393">
        <f t="shared" si="8"/>
        <v>2113938</v>
      </c>
      <c r="AD14" s="393">
        <f t="shared" si="8"/>
        <v>1926188</v>
      </c>
    </row>
    <row r="15" spans="1:38" ht="15.75" x14ac:dyDescent="0.25">
      <c r="A15" s="387" t="s">
        <v>177</v>
      </c>
      <c r="B15" s="388">
        <v>1143</v>
      </c>
      <c r="C15" s="389">
        <v>5623.51</v>
      </c>
      <c r="D15" s="389">
        <v>33</v>
      </c>
      <c r="E15" s="389">
        <v>7098</v>
      </c>
      <c r="F15" s="389">
        <v>1176</v>
      </c>
      <c r="G15" s="389">
        <f t="shared" si="1"/>
        <v>5656.51</v>
      </c>
      <c r="H15" s="390">
        <f t="shared" si="2"/>
        <v>85176</v>
      </c>
      <c r="I15" s="390">
        <f t="shared" si="2"/>
        <v>14112</v>
      </c>
      <c r="J15" s="390">
        <f t="shared" si="4"/>
        <v>99288</v>
      </c>
      <c r="K15" s="389">
        <f t="shared" si="6"/>
        <v>13930.51</v>
      </c>
      <c r="L15" s="391" t="s">
        <v>178</v>
      </c>
      <c r="M15" s="395">
        <v>91500</v>
      </c>
      <c r="N15" s="396">
        <v>1432800</v>
      </c>
      <c r="O15" s="2">
        <f t="shared" si="5"/>
        <v>80.052493438320212</v>
      </c>
      <c r="P15">
        <v>2026</v>
      </c>
      <c r="Q15" s="393">
        <f>U15</f>
        <v>0</v>
      </c>
      <c r="R15" s="394">
        <v>6041</v>
      </c>
      <c r="S15" s="394">
        <v>10556</v>
      </c>
      <c r="T15" s="393">
        <v>0</v>
      </c>
      <c r="U15" s="393"/>
      <c r="V15" s="393"/>
      <c r="W15" s="393"/>
      <c r="X15" s="393"/>
      <c r="Y15" s="393"/>
      <c r="Z15" s="393"/>
      <c r="AA15" s="393"/>
      <c r="AB15" s="393"/>
      <c r="AC15" s="393"/>
      <c r="AD15" s="393"/>
    </row>
    <row r="16" spans="1:38" ht="60" x14ac:dyDescent="0.25">
      <c r="A16" s="387" t="s">
        <v>73</v>
      </c>
      <c r="B16" s="388">
        <f>421+2602</f>
        <v>3023</v>
      </c>
      <c r="C16" s="389">
        <v>16169.85</v>
      </c>
      <c r="D16" s="389">
        <v>349.62</v>
      </c>
      <c r="E16" s="389">
        <v>11456</v>
      </c>
      <c r="F16" s="389">
        <v>2683.44</v>
      </c>
      <c r="G16" s="389">
        <f t="shared" si="1"/>
        <v>16519.47</v>
      </c>
      <c r="H16" s="390">
        <f t="shared" si="2"/>
        <v>137472</v>
      </c>
      <c r="I16" s="390">
        <f t="shared" si="2"/>
        <v>32201.279999999999</v>
      </c>
      <c r="J16" s="390">
        <f t="shared" si="4"/>
        <v>169673.28</v>
      </c>
      <c r="K16" s="389">
        <f t="shared" si="6"/>
        <v>30658.91</v>
      </c>
      <c r="L16" s="391" t="s">
        <v>179</v>
      </c>
      <c r="M16" s="395"/>
      <c r="N16" s="396" t="s">
        <v>183</v>
      </c>
      <c r="P16">
        <v>2030</v>
      </c>
      <c r="Q16" s="393">
        <f>Y16</f>
        <v>0</v>
      </c>
      <c r="R16" s="394">
        <v>257476</v>
      </c>
      <c r="S16" s="394">
        <v>90036</v>
      </c>
      <c r="T16" s="393">
        <f t="shared" si="3"/>
        <v>167440</v>
      </c>
      <c r="U16" s="393">
        <f>T16-$S16</f>
        <v>77404</v>
      </c>
      <c r="V16" s="393">
        <v>0</v>
      </c>
      <c r="W16" s="393"/>
      <c r="X16" s="393"/>
      <c r="Y16" s="393"/>
      <c r="Z16" s="393"/>
      <c r="AA16" s="393"/>
      <c r="AB16" s="393"/>
      <c r="AC16" s="393"/>
      <c r="AD16" s="393"/>
    </row>
    <row r="17" spans="1:30" ht="15.75" thickBot="1" x14ac:dyDescent="0.3">
      <c r="A17" s="397" t="s">
        <v>84</v>
      </c>
      <c r="B17" s="398">
        <v>2095</v>
      </c>
      <c r="C17" s="398">
        <v>17325.43</v>
      </c>
      <c r="D17" s="398">
        <v>656</v>
      </c>
      <c r="E17" s="398">
        <v>16341</v>
      </c>
      <c r="F17" s="398">
        <v>3831</v>
      </c>
      <c r="G17" s="389">
        <f t="shared" si="1"/>
        <v>17981.43</v>
      </c>
      <c r="H17" s="390">
        <f t="shared" si="2"/>
        <v>196092</v>
      </c>
      <c r="I17" s="390">
        <f t="shared" si="2"/>
        <v>45972</v>
      </c>
      <c r="J17" s="390">
        <f t="shared" si="4"/>
        <v>242064</v>
      </c>
      <c r="K17" s="389">
        <f t="shared" si="6"/>
        <v>38153.43</v>
      </c>
      <c r="L17" s="399"/>
      <c r="M17" s="398">
        <v>136175</v>
      </c>
      <c r="N17" s="400"/>
      <c r="P17">
        <v>2026</v>
      </c>
      <c r="Q17" s="393">
        <f>-U17</f>
        <v>-5453</v>
      </c>
      <c r="R17" s="394">
        <v>16241</v>
      </c>
      <c r="S17" s="394">
        <v>5394</v>
      </c>
      <c r="T17" s="393">
        <f t="shared" si="3"/>
        <v>10847</v>
      </c>
      <c r="U17" s="393">
        <f>T17-$S17</f>
        <v>5453</v>
      </c>
      <c r="V17" s="393">
        <f t="shared" ref="V17:AD17" si="9">U17-$S17</f>
        <v>59</v>
      </c>
      <c r="W17" s="393">
        <f t="shared" si="9"/>
        <v>-5335</v>
      </c>
      <c r="X17" s="393">
        <f t="shared" si="9"/>
        <v>-10729</v>
      </c>
      <c r="Y17" s="393">
        <f t="shared" si="9"/>
        <v>-16123</v>
      </c>
      <c r="Z17" s="393">
        <f t="shared" si="9"/>
        <v>-21517</v>
      </c>
      <c r="AA17" s="393">
        <f t="shared" si="9"/>
        <v>-26911</v>
      </c>
      <c r="AB17" s="393">
        <f t="shared" si="9"/>
        <v>-32305</v>
      </c>
      <c r="AC17" s="393">
        <f t="shared" si="9"/>
        <v>-37699</v>
      </c>
      <c r="AD17" s="393">
        <f t="shared" si="9"/>
        <v>-43093</v>
      </c>
    </row>
    <row r="18" spans="1:30" ht="15.75" x14ac:dyDescent="0.25">
      <c r="A18" s="387" t="s">
        <v>118</v>
      </c>
      <c r="B18" s="388"/>
      <c r="C18" s="388"/>
      <c r="D18" s="388"/>
      <c r="E18" s="388"/>
      <c r="F18" s="388"/>
      <c r="G18" s="389">
        <f>SUM(G5:G16)</f>
        <v>127734.29</v>
      </c>
      <c r="H18" s="390"/>
      <c r="I18" s="390"/>
      <c r="J18" s="390">
        <f>SUM(J5:J16)</f>
        <v>1523856.96</v>
      </c>
      <c r="K18" s="389">
        <f>SUM(K5:K16)</f>
        <v>254722.36999999997</v>
      </c>
      <c r="L18" s="388"/>
      <c r="M18" s="395">
        <f>SUM(M5:M16)</f>
        <v>547600</v>
      </c>
      <c r="N18" s="396">
        <f>SUM(N5:N16)</f>
        <v>6281640</v>
      </c>
      <c r="O18" s="401"/>
      <c r="P18" s="401"/>
      <c r="Q18" s="402">
        <f>SUM(Q5:Q17)</f>
        <v>-7580378</v>
      </c>
      <c r="R18" s="402">
        <f t="shared" ref="R18" si="10">SUM(R5:R17)</f>
        <v>10932630</v>
      </c>
      <c r="S18" s="402">
        <f>SUM(S5:S17)-S16-S10-S13-S15</f>
        <v>793059</v>
      </c>
    </row>
    <row r="19" spans="1:30" x14ac:dyDescent="0.25">
      <c r="Q19" s="393"/>
      <c r="S19" s="404" t="s">
        <v>180</v>
      </c>
    </row>
    <row r="20" spans="1:30" ht="15.75" x14ac:dyDescent="0.25">
      <c r="A20" s="403"/>
    </row>
  </sheetData>
  <mergeCells count="1">
    <mergeCell ref="B2:N2"/>
  </mergeCells>
  <pageMargins left="0.7" right="0.7" top="0.75" bottom="0.75" header="0.3" footer="0.3"/>
  <pageSetup orientation="portrait" horizontalDpi="30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07FE7952D2746953707D31C83CD61" ma:contentTypeVersion="13" ma:contentTypeDescription="Create a new document." ma:contentTypeScope="" ma:versionID="dc1b293288395d0fb227b3961c116d8c">
  <xsd:schema xmlns:xsd="http://www.w3.org/2001/XMLSchema" xmlns:xs="http://www.w3.org/2001/XMLSchema" xmlns:p="http://schemas.microsoft.com/office/2006/metadata/properties" xmlns:ns2="1970fd93-90bd-4330-9b17-d56373fb2699" xmlns:ns3="61ce9f28-304d-40da-84cb-199d4aced641" targetNamespace="http://schemas.microsoft.com/office/2006/metadata/properties" ma:root="true" ma:fieldsID="2a02a13c5817b9d304fa014b957cac26" ns2:_="" ns3:_="">
    <xsd:import namespace="1970fd93-90bd-4330-9b17-d56373fb2699"/>
    <xsd:import namespace="61ce9f28-304d-40da-84cb-199d4aced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0fd93-90bd-4330-9b17-d56373fb2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a6a9047-7622-4e6d-83e1-5b7b4f4e65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e9f28-304d-40da-84cb-199d4aced64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4a14ed1-b42f-44ef-aeeb-90497f88b6f8}" ma:internalName="TaxCatchAll" ma:showField="CatchAllData" ma:web="61ce9f28-304d-40da-84cb-199d4aced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ce9f28-304d-40da-84cb-199d4aced641" xsi:nil="true"/>
    <lcf76f155ced4ddcb4097134ff3c332f xmlns="1970fd93-90bd-4330-9b17-d56373fb26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930A22-4835-4947-AAF0-CC06A7DE7E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58336-D008-46DD-8612-D4E43BDA84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0fd93-90bd-4330-9b17-d56373fb2699"/>
    <ds:schemaRef ds:uri="61ce9f28-304d-40da-84cb-199d4aced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59FCB4-82FF-44C0-BF0B-E9BC478EA606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1ce9f28-304d-40da-84cb-199d4aced641"/>
    <ds:schemaRef ds:uri="1970fd93-90bd-4330-9b17-d56373fb2699"/>
  </ds:schemaRefs>
</ds:datastoreItem>
</file>

<file path=docMetadata/LabelInfo.xml><?xml version="1.0" encoding="utf-8"?>
<clbl:labelList xmlns:clbl="http://schemas.microsoft.com/office/2020/mipLabelMetadata">
  <clbl:label id="{ceefa623-8205-48a1-bc33-0a621cb37131}" enabled="0" method="" siteId="{ceefa623-8205-48a1-bc33-0a621cb3713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Väestöennuste alueittain</vt:lpstr>
      <vt:lpstr>Kouluittain oppilasmuutokset</vt:lpstr>
      <vt:lpstr>Tilakustannus muutoskohteissa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Oksanen, Raila</dc:creator>
  <cp:keywords/>
  <dc:description/>
  <cp:lastModifiedBy>Lindroos Henna</cp:lastModifiedBy>
  <cp:revision/>
  <cp:lastPrinted>2023-02-08T06:49:48Z</cp:lastPrinted>
  <dcterms:created xsi:type="dcterms:W3CDTF">2022-10-25T11:41:27Z</dcterms:created>
  <dcterms:modified xsi:type="dcterms:W3CDTF">2025-04-02T08:26:02Z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0x01010084507FE7952D2746953707D31C83CD61</vt:lpwstr>
  </property>
  <property fmtid="{D5CDD505-2E9C-101B-9397-08002B2CF9AE}" pid="3" name="MediaServiceImageTags">
    <vt:lpwstr/>
  </property>
</Properties>
</file>